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859" activeTab="1"/>
  </bookViews>
  <sheets>
    <sheet name="Pokyny pro vyplnění" sheetId="1" r:id="rId1"/>
    <sheet name="Stavba" sheetId="2" r:id="rId2"/>
    <sheet name="VzorPolozky" sheetId="3" state="hidden" r:id="rId3"/>
    <sheet name="etapa 1" sheetId="4" r:id="rId4"/>
    <sheet name="etapa 2" sheetId="5" r:id="rId5"/>
  </sheets>
  <externalReferences>
    <externalReference r:id="rId8"/>
  </externalReferences>
  <definedNames>
    <definedName name="CelkemDPHVypocet" localSheetId="1">'Stavba'!$H$44</definedName>
    <definedName name="CenaCelkem">'Stavba'!$G$30</definedName>
    <definedName name="CenaCelkemBezDPH">'Stavba'!$G$29</definedName>
    <definedName name="CenaCelkemVypocet" localSheetId="1">'Stavba'!$I$44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'Stavba'!$J$30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'etapa 1'!$1:$7</definedName>
    <definedName name="_xlnm.Print_Titles" localSheetId="4">'etapa 2'!$1:$7</definedName>
    <definedName name="oadresa">'Stavba'!$D$6</definedName>
    <definedName name="Objednatel" localSheetId="1">'Stavba'!$D$5</definedName>
    <definedName name="Objekt" localSheetId="1">'Stavba'!$B$39</definedName>
    <definedName name="_xlnm.Print_Area" localSheetId="3">'etapa 1'!$A$1:$X$196</definedName>
    <definedName name="_xlnm.Print_Area" localSheetId="4">'etapa 2'!$A$1:$X$137</definedName>
    <definedName name="_xlnm.Print_Area" localSheetId="1">'Stavba'!$A$1:$J$110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 localSheetId="4">#REF!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 localSheetId="4">#REF!</definedName>
    <definedName name="SloupecCC">#REF!</definedName>
    <definedName name="SloupecCisloPol" localSheetId="4">#REF!</definedName>
    <definedName name="SloupecCisloPol">#REF!</definedName>
    <definedName name="SloupecJC" localSheetId="4">#REF!</definedName>
    <definedName name="SloupecJC">#REF!</definedName>
    <definedName name="SloupecMJ" localSheetId="4">#REF!</definedName>
    <definedName name="SloupecMJ">#REF!</definedName>
    <definedName name="SloupecMnozstvi" localSheetId="4">#REF!</definedName>
    <definedName name="SloupecMnozstvi">#REF!</definedName>
    <definedName name="SloupecNazPol" localSheetId="4">#REF!</definedName>
    <definedName name="SloupecNazPol">#REF!</definedName>
    <definedName name="SloupecPC" localSheetId="4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'Stavba'!$B$1:$J$37</definedName>
    <definedName name="ZakladDPHSni">'Stavba'!$G$23</definedName>
    <definedName name="ZakladDPHSniVypocet" localSheetId="1">'Stavba'!$F$44</definedName>
    <definedName name="ZakladDPHZakl">'Stavba'!$G$25</definedName>
    <definedName name="ZakladDPHZaklVypocet" localSheetId="1">'Stavba'!$G$44</definedName>
    <definedName name="ZaObjednatele">'Stavba'!$G$35</definedName>
    <definedName name="Zaokrouhleni">'Stavba'!$G$28</definedName>
    <definedName name="ZaZhotovitele">'Stavba'!$D$35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TSC</author>
  </authors>
  <commentList>
    <comment ref="S6" authorId="0">
      <text>
        <r>
          <rPr>
            <sz val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8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TSC</author>
  </authors>
  <commentList>
    <comment ref="S6" authorId="0">
      <text>
        <r>
          <rPr>
            <sz val="8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8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<sst xmlns="http://schemas.openxmlformats.org/spreadsheetml/2006/main" count="1234" uniqueCount="327">
  <si>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</si>
  <si>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</si>
  <si>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</si>
  <si>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</si>
  <si>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</si>
  <si>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</si>
  <si>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</si>
  <si>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</si>
  <si>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</si>
  <si>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</si>
  <si>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</si>
  <si>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</si>
  <si>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</si>
  <si>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</si>
  <si>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</si>
  <si>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</si>
  <si>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</si>
  <si>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</si>
  <si>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</si>
  <si>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</si>
  <si>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</si>
  <si>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</si>
  <si>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</si>
  <si>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</si>
  <si>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</si>
  <si>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</si>
  <si>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</si>
  <si>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</si>
  <si>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</si>
  <si>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</si>
  <si>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</si>
  <si>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</si>
  <si>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</si>
  <si>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</si>
  <si>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</si>
  <si>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</si>
  <si>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</si>
  <si>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</si>
  <si>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</si>
  <si>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</si>
  <si>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</si>
  <si>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01285</t>
  </si>
  <si>
    <t>Rekonstrukce chodníků v ulici V Podlískách v obci Braškov</t>
  </si>
  <si>
    <t>SO 01</t>
  </si>
  <si>
    <t>Chodník</t>
  </si>
  <si>
    <t>Objekt:</t>
  </si>
  <si>
    <t>Rozpočet:</t>
  </si>
  <si>
    <t>Stavba</t>
  </si>
  <si>
    <t>Stavební objekt</t>
  </si>
  <si>
    <t>Celkem za stavbu</t>
  </si>
  <si>
    <t>CZK</t>
  </si>
  <si>
    <t>Typ dílu</t>
  </si>
  <si>
    <t>1</t>
  </si>
  <si>
    <t>Zemní práce</t>
  </si>
  <si>
    <t>5</t>
  </si>
  <si>
    <t>Komunikace</t>
  </si>
  <si>
    <t>91</t>
  </si>
  <si>
    <t>Doplňující práce na komunikaci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</si>
  <si>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</si>
  <si>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</si>
  <si>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</si>
  <si>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</si>
  <si>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</si>
  <si>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</si>
  <si>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</si>
  <si>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</si>
  <si>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</si>
  <si>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</si>
  <si>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</si>
  <si>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</si>
  <si>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</si>
  <si>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</si>
  <si>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</si>
  <si>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</si>
  <si>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</si>
  <si>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</si>
  <si>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</si>
  <si>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</si>
  <si>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</si>
  <si>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</si>
  <si>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</si>
  <si>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</si>
  <si>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</si>
  <si>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</si>
  <si>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</si>
  <si>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</si>
  <si>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</si>
  <si>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</si>
  <si>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</si>
  <si>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</si>
  <si>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</si>
  <si>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</si>
  <si>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</si>
  <si>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SPU</t>
  </si>
  <si>
    <t>SPCM</t>
  </si>
  <si>
    <t>kus</t>
  </si>
  <si>
    <t>59217010R</t>
  </si>
  <si>
    <t>m2</t>
  </si>
  <si>
    <t xml:space="preserve">Geodetické práce </t>
  </si>
  <si>
    <t>Soubor</t>
  </si>
  <si>
    <t>Indiv</t>
  </si>
  <si>
    <t>VRN</t>
  </si>
  <si>
    <t>POL99_2</t>
  </si>
  <si>
    <t>Zařízení staveniště</t>
  </si>
  <si>
    <t>POP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</si>
  <si>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</si>
  <si>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</si>
  <si>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</si>
  <si>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822-1</t>
  </si>
  <si>
    <t>Práce</t>
  </si>
  <si>
    <t>POL1_</t>
  </si>
  <si>
    <t>SPI</t>
  </si>
  <si>
    <t>m</t>
  </si>
  <si>
    <t>800-1</t>
  </si>
  <si>
    <t>m3</t>
  </si>
  <si>
    <t>122201109R00</t>
  </si>
  <si>
    <t>162701105RT3</t>
  </si>
  <si>
    <t>po suchu, bez naložení výkopku, avšak se složením bez rozhrnutí, zpáteční cesta vozidla.</t>
  </si>
  <si>
    <t>167101101R00</t>
  </si>
  <si>
    <t>180402111R00</t>
  </si>
  <si>
    <t>823-1</t>
  </si>
  <si>
    <t>na půdě předem připravené s pokosením, naložením, odvozem odpadu do 20 km a se složením,</t>
  </si>
  <si>
    <t>199000002R00</t>
  </si>
  <si>
    <t>Poplatky za skládku horniny 1- 4, skupina 17 05 04 z Katalogu odpadů</t>
  </si>
  <si>
    <t>t</t>
  </si>
  <si>
    <t>s provedením lože z kameniva drceného, s vyplněním spár, s dvojitým hutněním a se smetením přebytečného materiálu na krajnici. S dodáním hmot pro lože a výplň spár.</t>
  </si>
  <si>
    <t>919735112R00</t>
  </si>
  <si>
    <t>Řezání stávajících krytů nebo podkladů živičných, hloubky přes 50 do 100 mm</t>
  </si>
  <si>
    <t>včetně spotřeby vody</t>
  </si>
  <si>
    <t>Přesun hmot</t>
  </si>
  <si>
    <t>POL7_</t>
  </si>
  <si>
    <t>Přesun hmot pozemních komunikací, kryt dlážděný jakékoliv délky objektu</t>
  </si>
  <si>
    <t>Přesun suti</t>
  </si>
  <si>
    <t>POL8_</t>
  </si>
  <si>
    <t>801-3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</si>
  <si>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</si>
  <si>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</si>
  <si>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</si>
  <si>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005211030R</t>
  </si>
  <si>
    <t xml:space="preserve">Dočasná dopravní opatření </t>
  </si>
  <si>
    <t>005241010R</t>
  </si>
  <si>
    <t>Náklady na vyhotovení dokumentace skutečného provedení stavby a její předání objednateli v požadované formě a požadovaném počtu.</t>
  </si>
  <si>
    <t>005281010R</t>
  </si>
  <si>
    <t>Propagace</t>
  </si>
  <si>
    <t>SUM</t>
  </si>
  <si>
    <t>END</t>
  </si>
  <si>
    <t>12224441R00</t>
  </si>
  <si>
    <t>998200011R00</t>
  </si>
  <si>
    <t>998213111R00</t>
  </si>
  <si>
    <t>Poplatek za skládku stavební suti</t>
  </si>
  <si>
    <t>979188001R00</t>
  </si>
  <si>
    <t>005131 R</t>
  </si>
  <si>
    <t>Náklady na vyhotovení návrhu dočasného dopravního značení, jeho projednání s dotčenými orgány a organizacemi, dodání dopravních značek i případné světelné signalizace, jejich rozmístění a přemísťování a jejich údržba v průběhu výstavby včetně následného odstranění po ukončení stavebních prací.</t>
  </si>
  <si>
    <t>Náklady spojené s povinnou publicitou. Zahrnuje zejména náklady na propagační a informační billboardy, tabule, internetovou propagaci, tiskoviny apod.</t>
  </si>
  <si>
    <t>Založení trávníku parkový trávník, výsevem v rovině, vč. travního smene</t>
  </si>
  <si>
    <t>005121029 R</t>
  </si>
  <si>
    <t>Kladení zámkové dlažby do drtě tloušťka dlažby 60 mm, tloušťka lože 40 mm</t>
  </si>
  <si>
    <t>Nakládání výkopku, skládání, překládání neulehlého výkopku
 z hornin 1 až 4</t>
  </si>
  <si>
    <t>Osazení silničního betonového obrubníku, s boční opěrou z betonu prostého, do lože z betonu prostého C 12/15</t>
  </si>
  <si>
    <t>592215021R00</t>
  </si>
  <si>
    <t xml:space="preserve">             Artendr s.r.o.</t>
  </si>
  <si>
    <t>Zadavatel:</t>
  </si>
  <si>
    <t>Celkem bez DPH</t>
  </si>
  <si>
    <t>Základní DPH</t>
  </si>
  <si>
    <t>139601102R00</t>
  </si>
  <si>
    <t>Ruční výkop jam, rýh a šachet v hornině 3</t>
  </si>
  <si>
    <t>s přehozením na vzdálenost do 5 m nebo s naložením na ruční dopravní prostředek</t>
  </si>
  <si>
    <t>823-2</t>
  </si>
  <si>
    <t>Rozprostření zemin schopných zúrodnění v rovině nebo svahu do 1:5, tloušťka 200 mm</t>
  </si>
  <si>
    <t>vč. dodávky zeminy, naložení, dovozu do 20 km a se složením,</t>
  </si>
  <si>
    <t>95</t>
  </si>
  <si>
    <t>Dokončovací konstrukce na pozemních stavbách</t>
  </si>
  <si>
    <t>801-1</t>
  </si>
  <si>
    <t>998222011R00</t>
  </si>
  <si>
    <t>Přesun hmot pozemních komunikací, kryt z kameniva jakékoliv délky objektu</t>
  </si>
  <si>
    <t>181101102R00</t>
  </si>
  <si>
    <t>Úprava pláně v zářezech v hornině 1 až 4, se zhutněním</t>
  </si>
  <si>
    <t>181006190RT2</t>
  </si>
  <si>
    <t>564851112RT3</t>
  </si>
  <si>
    <t xml:space="preserve">dlažba betonová, zámková; přírodní šedá, tl. 60 mm </t>
  </si>
  <si>
    <t>59245255R</t>
  </si>
  <si>
    <t>914001199RT9</t>
  </si>
  <si>
    <t>174101101R00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</si>
  <si>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</si>
  <si>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4</t>
  </si>
  <si>
    <t>Vodorovné konstrukce</t>
  </si>
  <si>
    <t>Cena celkem bez DPH</t>
  </si>
  <si>
    <t xml:space="preserve">Osazení a montáž svislých dopravních značek sloupek, do betonového základu,  </t>
  </si>
  <si>
    <t>vč. základu, nové kotevní šrouby</t>
  </si>
  <si>
    <t>91400R01</t>
  </si>
  <si>
    <t>Odstranění podkladů nebo krytů z kameniva hrubého drceného, v ploše jednotlivě nad 50 m2</t>
  </si>
  <si>
    <t>113107539R00</t>
  </si>
  <si>
    <t>RTS 21/II</t>
  </si>
  <si>
    <t>911011206RT9</t>
  </si>
  <si>
    <t>Demontáž svislých dopravních značek, vč. sloupků a patek</t>
  </si>
  <si>
    <t>59217002R</t>
  </si>
  <si>
    <t>Přesun hmot komunikací, kryt živičný, nebo betonový jakékoliv délky objektu</t>
  </si>
  <si>
    <t>979086112R00</t>
  </si>
  <si>
    <t>Odvoz suti a vybouraných hmot na skládku do 1 km</t>
  </si>
  <si>
    <t>979081111R00</t>
  </si>
  <si>
    <t>Odvoz suti a vybouraných hmot na skládku příplatek za každý další 1 km</t>
  </si>
  <si>
    <t>Odkopávky a  prokopávky nezapažené v hornině 3
 do 100 m3</t>
  </si>
  <si>
    <t>113108410R00</t>
  </si>
  <si>
    <r>
      <t>Odstranění podkladů nebo krytů živičných, v ploše nad 50 m2, tloušťka vrstvy do 10</t>
    </r>
    <r>
      <rPr>
        <sz val="8"/>
        <color indexed="8"/>
        <rFont val="Arial CE"/>
        <family val="0"/>
      </rPr>
      <t>0</t>
    </r>
    <r>
      <rPr>
        <sz val="8"/>
        <rFont val="Arial CE"/>
        <family val="0"/>
      </rPr>
      <t xml:space="preserve"> mm</t>
    </r>
  </si>
  <si>
    <t>Podklad ze štěrkodrti s rozprostřením a zhutněním (frakce 0-32mm, 0/63mm), tloušťka po zhutnění 200mm</t>
  </si>
  <si>
    <t>577132177RT2</t>
  </si>
  <si>
    <t>915701751RT9</t>
  </si>
  <si>
    <t>2</t>
  </si>
  <si>
    <t>Základy a zvláštní zakládání</t>
  </si>
  <si>
    <t>801-2</t>
  </si>
  <si>
    <t>465513100R00</t>
  </si>
  <si>
    <t xml:space="preserve">Dlažba z lomového kamene dlažba z kamene lomařsky upraveného na cementovou maltu, s vyspárováním cementovou maltou, tloušťka 200 mm,  </t>
  </si>
  <si>
    <t>832-1</t>
  </si>
  <si>
    <t>lomařsky upraveného pro dlažbu</t>
  </si>
  <si>
    <t>711</t>
  </si>
  <si>
    <t>Izolace proti vodě</t>
  </si>
  <si>
    <t>800-711</t>
  </si>
  <si>
    <t>Zalití spár asfaltovou zálivkou - za tepla</t>
  </si>
  <si>
    <t>956274471RT1</t>
  </si>
  <si>
    <t>Hloubení rýh, příplatek k cenám za lepivost horniny</t>
  </si>
  <si>
    <t>132251109R00</t>
  </si>
  <si>
    <t>8</t>
  </si>
  <si>
    <t>Trubní vedení</t>
  </si>
  <si>
    <t>895941860R4T</t>
  </si>
  <si>
    <t>211130222R00</t>
  </si>
  <si>
    <t>Odkopávky a  prokopávky nezapaž. v hornině 3
 příplatek k cenám za lepivost horniny</t>
  </si>
  <si>
    <t>Hloubení rýh šířky do 60 cm nad 100 m3, v hornině 3, hloubení strojně</t>
  </si>
  <si>
    <t>132240799R00</t>
  </si>
  <si>
    <t>567123811R00</t>
  </si>
  <si>
    <t>Podklad z kameniva zpevněného cementem KZC, tloušťka po zhutnění 120 mm</t>
  </si>
  <si>
    <t>592111118R00</t>
  </si>
  <si>
    <t>Podklad z mechanicky zpevněného kameniva tl. 20cm</t>
  </si>
  <si>
    <t>564952121R00</t>
  </si>
  <si>
    <t>567123819R00</t>
  </si>
  <si>
    <t>Podklad z kameniva zpevněného cementem KZC, tloušťka po zhutnění 210 mm</t>
  </si>
  <si>
    <t>Beton asfaltový s rozprostřením a zhutněním v pruhu šířky do 1m, ACO 8-11+ , tloušťky 50 mm - ručně</t>
  </si>
  <si>
    <t xml:space="preserve">dlažba betonová, zámková; červená, slepecká, tl. 60 mm </t>
  </si>
  <si>
    <t>s provedením lože z MC M25 XF4, s vyplněním spár a se smetením přebytečného materiálu na krajnici. S dodáním kostek žulových 10/12 a hmot pro lože i výplň spár.</t>
  </si>
  <si>
    <t>vč. zásypu jamky, zemních prací, likvidace</t>
  </si>
  <si>
    <t>Značka dopravní, vč. sloupku 60mm, délky 2,5m + patice, šrouby</t>
  </si>
  <si>
    <t>Osazení chodníkového betonového obrubníku, s boční opěrou z betonu prostého, do lože z betonu prostého C 12/15</t>
  </si>
  <si>
    <t>917855124RT7</t>
  </si>
  <si>
    <t>917855126RT7</t>
  </si>
  <si>
    <t>obrubník chodníkový betonový; l = 1000,0 mm; š = 100 mm; h = 250,0 mm; barva přírodní</t>
  </si>
  <si>
    <t>obrubník silniční betonový; l = 1000 mm; š = 150 mm; h = 250 mm; barva přírodní</t>
  </si>
  <si>
    <t>obrubník silniční betonový; přechodový L a P, l = 1000 mm; š = 150 mm; h = 250-150 mm; barva přírodní</t>
  </si>
  <si>
    <t>obrubník silniční betonový; snížený (přejezdový), l = 1000 mm; š = 150 mm; h = 150 mm; barva přírodní</t>
  </si>
  <si>
    <t>59217011R</t>
  </si>
  <si>
    <t>59217013R</t>
  </si>
  <si>
    <t>Osazení zastávkového betonového obrubníku, s boční opěrou z betonu prostého, do lože z betonu prostého C 12/15</t>
  </si>
  <si>
    <t>obrubník zastávkový přímý, betonový; l = 1000 mm; š = 400 mm; h = 330 mm; barva přírodní</t>
  </si>
  <si>
    <t>obrubník zastávkový náběhový betonový L a P; l = 1000 mm; š = 400-150 mm; h = 330-250 mm; barva přírodní</t>
  </si>
  <si>
    <t>s dodáním hmot pro lože a opěry</t>
  </si>
  <si>
    <t>91449R03</t>
  </si>
  <si>
    <t>v otevřeném výkopu, vč. dopravy a manipulace, poplatek za skládku - předpoklad do 15kg/m2</t>
  </si>
  <si>
    <t>811301417R2T</t>
  </si>
  <si>
    <t>811441107R2T</t>
  </si>
  <si>
    <t>Obec Žďárek</t>
  </si>
  <si>
    <t>Žďárek 60</t>
  </si>
  <si>
    <t>463 44</t>
  </si>
  <si>
    <t>Žďárek</t>
  </si>
  <si>
    <t>00671860</t>
  </si>
  <si>
    <t>220016</t>
  </si>
  <si>
    <t>PROJEKT CHODNÍKU V OBCI ŽĎÁREK</t>
  </si>
  <si>
    <t>Chodník a kanalizace</t>
  </si>
  <si>
    <t>Žďárek - chodník a kanalizace</t>
  </si>
  <si>
    <t>Chodník a kanalzace - etapa 1</t>
  </si>
  <si>
    <t xml:space="preserve">Dlažba žulová z kostek, do lože z MC - tl.40mm </t>
  </si>
  <si>
    <t>soubor</t>
  </si>
  <si>
    <t>Vodorovné dopravní značení - žluté  (značení autobusové zastávky a 2x nápis BUS)</t>
  </si>
  <si>
    <t>59245269R</t>
  </si>
  <si>
    <t xml:space="preserve">dlažba betonová, zastávková, bílá; tl. 60 mm </t>
  </si>
  <si>
    <t>RTS 20/ I</t>
  </si>
  <si>
    <t>osazení palisády do lože z betonu, vč. lože a bočních patek, manipulace strojní</t>
  </si>
  <si>
    <t>Palisáda betonová délky 1500mm, přírodní šedá</t>
  </si>
  <si>
    <t>Osazení palisád betonových délky od 1 do 1,5m vč. lože a patek</t>
  </si>
  <si>
    <t>Palisáda betonová délky 1000mm, přírodní šedá</t>
  </si>
  <si>
    <t>91572217010R</t>
  </si>
  <si>
    <t>91582300020R</t>
  </si>
  <si>
    <t>91582300022R</t>
  </si>
  <si>
    <t>711823121RT3</t>
  </si>
  <si>
    <t>Ochrana konstrukcí nopovou fólií svisle, výška nopu do 10mm, včetně dodávky fólie</t>
  </si>
  <si>
    <t>Vodorovné přemístění výkopku z horniny 1 až 4, na vzdálenost přes 9 000  do 10 000 m</t>
  </si>
  <si>
    <t>162701109RT3</t>
  </si>
  <si>
    <t>Vodorovné přemístění výkopku příplatek k ceně za každých dalších i započatých 1 000 m přes 10 000 m z horniny 1 až 4</t>
  </si>
  <si>
    <t>Zásyp jam a rýh, se zhutněním</t>
  </si>
  <si>
    <t>do předepsaného tvaru, dodávka materiálu vhodného k hutnění (dle PD), ukládka a hutnění po vrstvách max 250mm</t>
  </si>
  <si>
    <t>452310119R2T</t>
  </si>
  <si>
    <t>174101071R00</t>
  </si>
  <si>
    <t xml:space="preserve">Zásyp jam, bez hutnění, s urovnáním </t>
  </si>
  <si>
    <t>do předepsaného tvaru, dodávka materiálu (dle PD - makadam), ukládka a rovnání po vrstvách max 150mm</t>
  </si>
  <si>
    <t xml:space="preserve">Základové patky nebo pasy ze železobetonu, vč. výztuže </t>
  </si>
  <si>
    <t>pas 100*400*3000mm, včetně bednění, odbednění, veškerá manipulace a doprava stavebních hmot a bednění</t>
  </si>
  <si>
    <t>Podkladní vrstva nebo lože ze štěrkopísku tříděného 0/8 tl.100mm</t>
  </si>
  <si>
    <t>564851002RT3</t>
  </si>
  <si>
    <t>Obsyp potrubí sypaninou vč. hutnění</t>
  </si>
  <si>
    <t>v otevřeném výkopu, vč. dodávky ŠP 0/8, dopravy a manipulace</t>
  </si>
  <si>
    <t>Dodávka a montáž potrubí z trub PP DN 250 (korugované SN8)</t>
  </si>
  <si>
    <t>v otevřeném výkopu, vč. dodávky trubky PP DN 250, dopravy a manipulace</t>
  </si>
  <si>
    <t>Dodávka a montáž chodníkové vpusti</t>
  </si>
  <si>
    <t>v otevřeném výkopu, vč. dodávky kpl. chodníkové vpusti (dle specifikace PD), vč. lože z betonu prostého, dopojení na kanalizační řád, obsypu se zhutněním, dopravy a manipulace</t>
  </si>
  <si>
    <t>811481117R2T</t>
  </si>
  <si>
    <t>Dodávka a montáž kanalizační šachty plastové DN 600, vč. poklopu</t>
  </si>
  <si>
    <t>895940101R4T</t>
  </si>
  <si>
    <t xml:space="preserve">Dodávka a montáž kanalizační šachty betonové DN 1000, vč. lit. poklopu </t>
  </si>
  <si>
    <t>v otevřeném výkopu, vč. dodávky kpl. šachtové sestavy a dna průběžného DN 250, poklopu B125, (šachta dle specifikace PD), vč. lože z betonu prostého, obsypu se zhutněním, dopravy a manipulace</t>
  </si>
  <si>
    <t>Tlakové zkoušky potrubí do DN 250, vč. ucpávek</t>
  </si>
  <si>
    <t>455401241R00</t>
  </si>
  <si>
    <t>Dodávka a montáž svodidla silničního jednostranného (N2,W2) vč. sloupků a spojovacího materiálu</t>
  </si>
  <si>
    <t>Demontáž a přesun plastového rozvaděče Cetin - dle PD</t>
  </si>
  <si>
    <t>Náklady zhotovitele, související s vytýčením stavby a inženýrských sítí.</t>
  </si>
  <si>
    <t>Dokumentace skutečného provedení</t>
  </si>
  <si>
    <t xml:space="preserve">Geodetické zaměření skutečného provedení </t>
  </si>
  <si>
    <t>005241910R</t>
  </si>
  <si>
    <t>Chodník a kanalizace - etapa 1</t>
  </si>
  <si>
    <t>Chodník a kanalizace - etapa 2</t>
  </si>
  <si>
    <t>Rekapitulace objektů SO 01 - Komunikace a kanalizace - uznatelné náklady</t>
  </si>
  <si>
    <t>Rekapitulace objektů SO 01 - Komunikace a kanalizace - neuznatelné náklady</t>
  </si>
  <si>
    <t>ROZDĚLENÍ NÁKLADŮ</t>
  </si>
  <si>
    <t>Rekapitulace dílů - chodník a kanalizace - etapa 1</t>
  </si>
  <si>
    <t>Rekapitulace dílů - chodník a kanalizace</t>
  </si>
  <si>
    <t>Rekapitulace dílů - chodník a kanalizace - etapa 2</t>
  </si>
  <si>
    <t xml:space="preserve">Rekapitulace objektů SO 01 - Chodníky a kanalizace </t>
  </si>
  <si>
    <t>Chodník a kanalzace - etapa 2</t>
  </si>
  <si>
    <t xml:space="preserve">Odstranění nánosu a vegetačního porostu </t>
  </si>
  <si>
    <t>Úprava sloupu Cetin - dle PD</t>
  </si>
  <si>
    <t>915701755RT9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</si>
</sst>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00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Tahoma"/>
      <family val="2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8"/>
      <color indexed="8"/>
      <name val="Arial CE"/>
      <family val="0"/>
    </font>
    <font>
      <b/>
      <sz val="20"/>
      <name val="Arial CE"/>
      <family val="0"/>
    </font>
    <font>
      <b/>
      <sz val="1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D6E1EE"/>
      <name val="Arial CE"/>
      <family val="0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thin">
        <color indexed="23"/>
      </left>
      <right/>
      <top style="thin"/>
      <bottom style="thin"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 style="thin">
        <color theme="1"/>
      </bottom>
    </border>
    <border>
      <left/>
      <right/>
      <top/>
      <bottom style="thin">
        <color theme="1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5" fillId="0" borderId="21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5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5" xfId="0" applyNumberFormat="1" applyFont="1" applyFill="1" applyBorder="1" applyAlignment="1">
      <alignment vertical="center"/>
    </xf>
    <xf numFmtId="4" fontId="3" fillId="35" borderId="17" xfId="0" applyNumberFormat="1" applyFont="1" applyFill="1" applyBorder="1" applyAlignment="1">
      <alignment vertical="center" wrapText="1"/>
    </xf>
    <xf numFmtId="4" fontId="7" fillId="35" borderId="24" xfId="0" applyNumberFormat="1" applyFont="1" applyFill="1" applyBorder="1" applyAlignment="1">
      <alignment horizontal="center" vertical="center" wrapText="1" shrinkToFit="1"/>
    </xf>
    <xf numFmtId="4" fontId="3" fillId="35" borderId="25" xfId="0" applyNumberFormat="1" applyFont="1" applyFill="1" applyBorder="1" applyAlignment="1">
      <alignment horizontal="center" vertical="center" wrapText="1" shrinkToFit="1"/>
    </xf>
    <xf numFmtId="4" fontId="3" fillId="35" borderId="24" xfId="0" applyNumberFormat="1" applyFont="1" applyFill="1" applyBorder="1" applyAlignment="1">
      <alignment horizontal="center" vertical="center" wrapText="1" shrinkToFit="1"/>
    </xf>
    <xf numFmtId="3" fontId="3" fillId="35" borderId="24" xfId="0" applyNumberFormat="1" applyFont="1" applyFill="1" applyBorder="1" applyAlignment="1">
      <alignment horizontal="center" vertical="center" wrapText="1"/>
    </xf>
    <xf numFmtId="4" fontId="0" fillId="0" borderId="25" xfId="0" applyNumberFormat="1" applyBorder="1" applyAlignment="1">
      <alignment vertical="center"/>
    </xf>
    <xf numFmtId="4" fontId="3" fillId="0" borderId="17" xfId="0" applyNumberFormat="1" applyFont="1" applyBorder="1" applyAlignment="1">
      <alignment horizontal="right" vertical="center" wrapText="1" shrinkToFit="1"/>
    </xf>
    <xf numFmtId="4" fontId="3" fillId="0" borderId="17" xfId="0" applyNumberFormat="1" applyFont="1" applyBorder="1" applyAlignment="1">
      <alignment horizontal="right" vertical="center" shrinkToFit="1"/>
    </xf>
    <xf numFmtId="4" fontId="0" fillId="0" borderId="17" xfId="0" applyNumberFormat="1" applyBorder="1" applyAlignment="1">
      <alignment vertical="center" shrinkToFit="1"/>
    </xf>
    <xf numFmtId="4" fontId="0" fillId="0" borderId="24" xfId="0" applyNumberFormat="1" applyBorder="1" applyAlignment="1">
      <alignment vertical="center" shrinkToFit="1"/>
    </xf>
    <xf numFmtId="3" fontId="0" fillId="0" borderId="24" xfId="0" applyNumberForma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 wrapText="1" shrinkToFit="1"/>
    </xf>
    <xf numFmtId="4" fontId="5" fillId="0" borderId="17" xfId="0" applyNumberFormat="1" applyFont="1" applyBorder="1" applyAlignment="1">
      <alignment vertical="center" shrinkToFit="1"/>
    </xf>
    <xf numFmtId="4" fontId="5" fillId="0" borderId="24" xfId="0" applyNumberFormat="1" applyFont="1" applyBorder="1" applyAlignment="1">
      <alignment vertical="center" shrinkToFit="1"/>
    </xf>
    <xf numFmtId="3" fontId="5" fillId="0" borderId="24" xfId="0" applyNumberFormat="1" applyFont="1" applyBorder="1" applyAlignment="1">
      <alignment vertical="center"/>
    </xf>
    <xf numFmtId="4" fontId="0" fillId="0" borderId="25" xfId="0" applyNumberFormat="1" applyBorder="1" applyAlignment="1">
      <alignment horizontal="left" vertical="center"/>
    </xf>
    <xf numFmtId="4" fontId="0" fillId="0" borderId="17" xfId="0" applyNumberFormat="1" applyBorder="1" applyAlignment="1">
      <alignment vertical="center" wrapText="1" shrinkToFit="1"/>
    </xf>
    <xf numFmtId="4" fontId="54" fillId="33" borderId="17" xfId="0" applyNumberFormat="1" applyFont="1" applyFill="1" applyBorder="1" applyAlignment="1">
      <alignment vertical="center" wrapText="1" shrinkToFit="1"/>
    </xf>
    <xf numFmtId="4" fontId="54" fillId="33" borderId="17" xfId="0" applyNumberFormat="1" applyFont="1" applyFill="1" applyBorder="1" applyAlignment="1">
      <alignment vertical="center" shrinkToFit="1"/>
    </xf>
    <xf numFmtId="4" fontId="0" fillId="33" borderId="24" xfId="0" applyNumberFormat="1" applyFill="1" applyBorder="1" applyAlignment="1">
      <alignment vertical="center" shrinkToFit="1"/>
    </xf>
    <xf numFmtId="3" fontId="0" fillId="33" borderId="24" xfId="0" applyNumberFormat="1" applyFill="1" applyBorder="1" applyAlignment="1">
      <alignment vertical="center"/>
    </xf>
    <xf numFmtId="0" fontId="4" fillId="33" borderId="28" xfId="0" applyFont="1" applyFill="1" applyBorder="1" applyAlignment="1">
      <alignment horizontal="left" vertical="center" indent="1"/>
    </xf>
    <xf numFmtId="0" fontId="5" fillId="33" borderId="29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4" fontId="4" fillId="33" borderId="29" xfId="0" applyNumberFormat="1" applyFont="1" applyFill="1" applyBorder="1" applyAlignment="1">
      <alignment horizontal="left" vertical="center"/>
    </xf>
    <xf numFmtId="49" fontId="0" fillId="33" borderId="30" xfId="0" applyNumberFormat="1" applyFill="1" applyBorder="1" applyAlignment="1">
      <alignment horizontal="left" vertical="center"/>
    </xf>
    <xf numFmtId="0" fontId="0" fillId="33" borderId="29" xfId="0" applyFill="1" applyBorder="1" applyAlignment="1">
      <alignment wrapText="1"/>
    </xf>
    <xf numFmtId="0" fontId="0" fillId="33" borderId="29" xfId="0" applyFill="1" applyBorder="1" applyAlignment="1">
      <alignment/>
    </xf>
    <xf numFmtId="49" fontId="5" fillId="33" borderId="3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33" borderId="24" xfId="0" applyNumberFormat="1" applyFont="1" applyFill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35" borderId="25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4" xfId="0" applyFill="1" applyBorder="1" applyAlignment="1">
      <alignment horizontal="center"/>
    </xf>
    <xf numFmtId="49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wrapText="1"/>
    </xf>
    <xf numFmtId="0" fontId="15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5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4" fontId="15" fillId="0" borderId="0" xfId="0" applyNumberFormat="1" applyFont="1" applyBorder="1" applyAlignment="1">
      <alignment vertical="top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31" xfId="0" applyFont="1" applyFill="1" applyBorder="1" applyAlignment="1">
      <alignment vertical="top"/>
    </xf>
    <xf numFmtId="49" fontId="5" fillId="33" borderId="21" xfId="0" applyNumberFormat="1" applyFont="1" applyFill="1" applyBorder="1" applyAlignment="1">
      <alignment vertical="top"/>
    </xf>
    <xf numFmtId="0" fontId="5" fillId="33" borderId="21" xfId="0" applyFont="1" applyFill="1" applyBorder="1" applyAlignment="1">
      <alignment horizontal="center" vertical="top" shrinkToFit="1"/>
    </xf>
    <xf numFmtId="164" fontId="5" fillId="33" borderId="21" xfId="0" applyNumberFormat="1" applyFont="1" applyFill="1" applyBorder="1" applyAlignment="1">
      <alignment vertical="top" shrinkToFit="1"/>
    </xf>
    <xf numFmtId="4" fontId="5" fillId="33" borderId="21" xfId="0" applyNumberFormat="1" applyFont="1" applyFill="1" applyBorder="1" applyAlignment="1">
      <alignment vertical="top" shrinkToFit="1"/>
    </xf>
    <xf numFmtId="4" fontId="5" fillId="33" borderId="32" xfId="0" applyNumberFormat="1" applyFont="1" applyFill="1" applyBorder="1" applyAlignment="1">
      <alignment vertical="top" shrinkToFit="1"/>
    </xf>
    <xf numFmtId="0" fontId="15" fillId="0" borderId="33" xfId="0" applyFont="1" applyBorder="1" applyAlignment="1">
      <alignment vertical="top"/>
    </xf>
    <xf numFmtId="49" fontId="15" fillId="0" borderId="34" xfId="0" applyNumberFormat="1" applyFont="1" applyBorder="1" applyAlignment="1">
      <alignment vertical="top"/>
    </xf>
    <xf numFmtId="0" fontId="15" fillId="0" borderId="34" xfId="0" applyFont="1" applyBorder="1" applyAlignment="1">
      <alignment horizontal="center" vertical="top" shrinkToFit="1"/>
    </xf>
    <xf numFmtId="164" fontId="15" fillId="0" borderId="34" xfId="0" applyNumberFormat="1" applyFont="1" applyBorder="1" applyAlignment="1">
      <alignment vertical="top" shrinkToFit="1"/>
    </xf>
    <xf numFmtId="4" fontId="15" fillId="34" borderId="34" xfId="0" applyNumberFormat="1" applyFont="1" applyFill="1" applyBorder="1" applyAlignment="1" applyProtection="1">
      <alignment vertical="top" shrinkToFit="1"/>
      <protection locked="0"/>
    </xf>
    <xf numFmtId="4" fontId="15" fillId="0" borderId="34" xfId="0" applyNumberFormat="1" applyFont="1" applyBorder="1" applyAlignment="1">
      <alignment vertical="top" shrinkToFit="1"/>
    </xf>
    <xf numFmtId="4" fontId="15" fillId="0" borderId="35" xfId="0" applyNumberFormat="1" applyFont="1" applyBorder="1" applyAlignment="1">
      <alignment vertical="top" shrinkToFit="1"/>
    </xf>
    <xf numFmtId="49" fontId="15" fillId="34" borderId="0" xfId="0" applyNumberFormat="1" applyFont="1" applyFill="1" applyBorder="1" applyAlignment="1" applyProtection="1">
      <alignment vertical="top"/>
      <protection locked="0"/>
    </xf>
    <xf numFmtId="0" fontId="17" fillId="0" borderId="0" xfId="0" applyNumberFormat="1" applyFont="1" applyAlignment="1">
      <alignment wrapText="1"/>
    </xf>
    <xf numFmtId="4" fontId="5" fillId="33" borderId="36" xfId="0" applyNumberFormat="1" applyFont="1" applyFill="1" applyBorder="1" applyAlignment="1">
      <alignment vertical="top"/>
    </xf>
    <xf numFmtId="49" fontId="5" fillId="33" borderId="21" xfId="0" applyNumberFormat="1" applyFont="1" applyFill="1" applyBorder="1" applyAlignment="1">
      <alignment horizontal="left" vertical="top" wrapText="1"/>
    </xf>
    <xf numFmtId="49" fontId="15" fillId="0" borderId="34" xfId="0" applyNumberFormat="1" applyFont="1" applyBorder="1" applyAlignment="1">
      <alignment horizontal="left" vertical="top" wrapText="1"/>
    </xf>
    <xf numFmtId="49" fontId="15" fillId="34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5" fillId="0" borderId="17" xfId="0" applyFont="1" applyFill="1" applyBorder="1" applyAlignment="1">
      <alignment vertical="top"/>
    </xf>
    <xf numFmtId="49" fontId="5" fillId="0" borderId="17" xfId="0" applyNumberFormat="1" applyFont="1" applyFill="1" applyBorder="1" applyAlignment="1">
      <alignment vertical="top"/>
    </xf>
    <xf numFmtId="4" fontId="5" fillId="0" borderId="17" xfId="0" applyNumberFormat="1" applyFont="1" applyFill="1" applyBorder="1" applyAlignment="1">
      <alignment vertical="top" shrinkToFit="1"/>
    </xf>
    <xf numFmtId="4" fontId="15" fillId="0" borderId="0" xfId="0" applyNumberFormat="1" applyFont="1" applyAlignment="1">
      <alignment/>
    </xf>
    <xf numFmtId="0" fontId="0" fillId="0" borderId="37" xfId="0" applyBorder="1" applyAlignment="1">
      <alignment horizontal="left" vertical="center" indent="1"/>
    </xf>
    <xf numFmtId="49" fontId="15" fillId="34" borderId="21" xfId="0" applyNumberFormat="1" applyFont="1" applyFill="1" applyBorder="1" applyAlignment="1" applyProtection="1">
      <alignment horizontal="left" vertical="top" wrapText="1"/>
      <protection locked="0"/>
    </xf>
    <xf numFmtId="49" fontId="15" fillId="34" borderId="21" xfId="0" applyNumberFormat="1" applyFont="1" applyFill="1" applyBorder="1" applyAlignment="1" applyProtection="1">
      <alignment vertical="top"/>
      <protection locked="0"/>
    </xf>
    <xf numFmtId="49" fontId="15" fillId="34" borderId="0" xfId="0" applyNumberFormat="1" applyFont="1" applyFill="1" applyBorder="1" applyAlignment="1" applyProtection="1">
      <alignment horizontal="left" vertical="top" wrapText="1"/>
      <protection locked="0"/>
    </xf>
    <xf numFmtId="49" fontId="15" fillId="34" borderId="0" xfId="0" applyNumberFormat="1" applyFont="1" applyFill="1" applyBorder="1" applyAlignment="1" applyProtection="1">
      <alignment vertical="top"/>
      <protection locked="0"/>
    </xf>
    <xf numFmtId="49" fontId="0" fillId="33" borderId="17" xfId="0" applyNumberFormat="1" applyFill="1" applyBorder="1" applyAlignment="1">
      <alignment vertical="center"/>
    </xf>
    <xf numFmtId="4" fontId="15" fillId="34" borderId="0" xfId="0" applyNumberFormat="1" applyFont="1" applyFill="1" applyBorder="1" applyAlignment="1" applyProtection="1">
      <alignment vertical="top" shrinkToFit="1"/>
      <protection locked="0"/>
    </xf>
    <xf numFmtId="49" fontId="15" fillId="0" borderId="21" xfId="0" applyNumberFormat="1" applyFont="1" applyBorder="1" applyAlignment="1">
      <alignment horizontal="left" vertical="top" wrapText="1"/>
    </xf>
    <xf numFmtId="0" fontId="15" fillId="0" borderId="21" xfId="0" applyFont="1" applyBorder="1" applyAlignment="1">
      <alignment horizontal="center" vertical="top" shrinkToFit="1"/>
    </xf>
    <xf numFmtId="164" fontId="15" fillId="0" borderId="21" xfId="0" applyNumberFormat="1" applyFont="1" applyBorder="1" applyAlignment="1">
      <alignment vertical="top" shrinkToFit="1"/>
    </xf>
    <xf numFmtId="4" fontId="15" fillId="0" borderId="21" xfId="0" applyNumberFormat="1" applyFont="1" applyBorder="1" applyAlignment="1">
      <alignment vertical="top" shrinkToFit="1"/>
    </xf>
    <xf numFmtId="0" fontId="0" fillId="0" borderId="32" xfId="0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38" xfId="0" applyBorder="1" applyAlignment="1">
      <alignment/>
    </xf>
    <xf numFmtId="0" fontId="0" fillId="33" borderId="24" xfId="0" applyFont="1" applyFill="1" applyBorder="1" applyAlignment="1">
      <alignment vertical="center"/>
    </xf>
    <xf numFmtId="0" fontId="0" fillId="0" borderId="27" xfId="0" applyBorder="1" applyAlignment="1">
      <alignment/>
    </xf>
    <xf numFmtId="49" fontId="15" fillId="34" borderId="21" xfId="0" applyNumberFormat="1" applyFont="1" applyFill="1" applyBorder="1" applyAlignment="1" applyProtection="1">
      <alignment horizontal="left" vertical="top" wrapText="1"/>
      <protection locked="0"/>
    </xf>
    <xf numFmtId="49" fontId="15" fillId="34" borderId="21" xfId="0" applyNumberFormat="1" applyFont="1" applyFill="1" applyBorder="1" applyAlignment="1" applyProtection="1">
      <alignment vertical="top"/>
      <protection locked="0"/>
    </xf>
    <xf numFmtId="49" fontId="15" fillId="0" borderId="34" xfId="0" applyNumberFormat="1" applyFont="1" applyFill="1" applyBorder="1" applyAlignment="1">
      <alignment vertical="top"/>
    </xf>
    <xf numFmtId="164" fontId="15" fillId="0" borderId="34" xfId="0" applyNumberFormat="1" applyFont="1" applyFill="1" applyBorder="1" applyAlignment="1">
      <alignment vertical="top" shrinkToFit="1"/>
    </xf>
    <xf numFmtId="49" fontId="5" fillId="0" borderId="0" xfId="0" applyNumberFormat="1" applyFont="1" applyAlignment="1">
      <alignment horizontal="left" vertical="center"/>
    </xf>
    <xf numFmtId="49" fontId="15" fillId="34" borderId="21" xfId="0" applyNumberFormat="1" applyFont="1" applyFill="1" applyBorder="1" applyAlignment="1" applyProtection="1">
      <alignment horizontal="left" vertical="top" wrapText="1"/>
      <protection locked="0"/>
    </xf>
    <xf numFmtId="49" fontId="15" fillId="34" borderId="21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4" fontId="15" fillId="0" borderId="0" xfId="0" applyNumberFormat="1" applyFont="1" applyBorder="1" applyAlignment="1">
      <alignment vertical="top" shrinkToFit="1"/>
    </xf>
    <xf numFmtId="0" fontId="15" fillId="0" borderId="33" xfId="0" applyFont="1" applyBorder="1" applyAlignment="1">
      <alignment vertical="top"/>
    </xf>
    <xf numFmtId="49" fontId="15" fillId="0" borderId="34" xfId="0" applyNumberFormat="1" applyFont="1" applyBorder="1" applyAlignment="1">
      <alignment vertical="top"/>
    </xf>
    <xf numFmtId="0" fontId="15" fillId="0" borderId="34" xfId="0" applyFont="1" applyBorder="1" applyAlignment="1">
      <alignment horizontal="center" vertical="top" shrinkToFit="1"/>
    </xf>
    <xf numFmtId="4" fontId="15" fillId="34" borderId="34" xfId="0" applyNumberFormat="1" applyFont="1" applyFill="1" applyBorder="1" applyAlignment="1" applyProtection="1">
      <alignment vertical="top" shrinkToFit="1"/>
      <protection locked="0"/>
    </xf>
    <xf numFmtId="4" fontId="15" fillId="0" borderId="34" xfId="0" applyNumberFormat="1" applyFont="1" applyBorder="1" applyAlignment="1">
      <alignment vertical="top" shrinkToFit="1"/>
    </xf>
    <xf numFmtId="49" fontId="15" fillId="34" borderId="0" xfId="0" applyNumberFormat="1" applyFont="1" applyFill="1" applyBorder="1" applyAlignment="1" applyProtection="1">
      <alignment vertical="top"/>
      <protection locked="0"/>
    </xf>
    <xf numFmtId="49" fontId="15" fillId="0" borderId="34" xfId="0" applyNumberFormat="1" applyFont="1" applyBorder="1" applyAlignment="1">
      <alignment horizontal="left" vertical="top" wrapText="1"/>
    </xf>
    <xf numFmtId="49" fontId="15" fillId="34" borderId="0" xfId="0" applyNumberFormat="1" applyFont="1" applyFill="1" applyBorder="1" applyAlignment="1" applyProtection="1">
      <alignment horizontal="left" vertical="top" wrapText="1"/>
      <protection locked="0"/>
    </xf>
    <xf numFmtId="4" fontId="15" fillId="0" borderId="21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4" fontId="15" fillId="0" borderId="0" xfId="0" applyNumberFormat="1" applyFont="1" applyBorder="1" applyAlignment="1">
      <alignment vertical="top" shrinkToFit="1"/>
    </xf>
    <xf numFmtId="0" fontId="15" fillId="0" borderId="33" xfId="0" applyFont="1" applyBorder="1" applyAlignment="1">
      <alignment vertical="top"/>
    </xf>
    <xf numFmtId="49" fontId="15" fillId="0" borderId="34" xfId="0" applyNumberFormat="1" applyFont="1" applyBorder="1" applyAlignment="1">
      <alignment vertical="top"/>
    </xf>
    <xf numFmtId="0" fontId="15" fillId="0" borderId="34" xfId="0" applyFont="1" applyBorder="1" applyAlignment="1">
      <alignment horizontal="center" vertical="top" shrinkToFit="1"/>
    </xf>
    <xf numFmtId="164" fontId="15" fillId="0" borderId="34" xfId="0" applyNumberFormat="1" applyFont="1" applyBorder="1" applyAlignment="1">
      <alignment vertical="top" shrinkToFit="1"/>
    </xf>
    <xf numFmtId="4" fontId="15" fillId="34" borderId="34" xfId="0" applyNumberFormat="1" applyFont="1" applyFill="1" applyBorder="1" applyAlignment="1" applyProtection="1">
      <alignment vertical="top" shrinkToFit="1"/>
      <protection locked="0"/>
    </xf>
    <xf numFmtId="4" fontId="15" fillId="0" borderId="34" xfId="0" applyNumberFormat="1" applyFont="1" applyBorder="1" applyAlignment="1">
      <alignment vertical="top" shrinkToFit="1"/>
    </xf>
    <xf numFmtId="49" fontId="15" fillId="0" borderId="34" xfId="0" applyNumberFormat="1" applyFont="1" applyBorder="1" applyAlignment="1">
      <alignment horizontal="left" vertical="top" wrapText="1"/>
    </xf>
    <xf numFmtId="49" fontId="0" fillId="0" borderId="17" xfId="0" applyNumberForma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0" fontId="13" fillId="35" borderId="24" xfId="0" applyFont="1" applyFill="1" applyBorder="1" applyAlignment="1">
      <alignment horizontal="center" vertical="center" wrapText="1"/>
    </xf>
    <xf numFmtId="4" fontId="3" fillId="0" borderId="24" xfId="0" applyNumberFormat="1" applyFont="1" applyBorder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vertical="center"/>
    </xf>
    <xf numFmtId="4" fontId="13" fillId="0" borderId="24" xfId="0" applyNumberFormat="1" applyFont="1" applyBorder="1" applyAlignment="1">
      <alignment vertical="center"/>
    </xf>
    <xf numFmtId="4" fontId="13" fillId="33" borderId="24" xfId="0" applyNumberFormat="1" applyFont="1" applyFill="1" applyBorder="1" applyAlignment="1">
      <alignment vertical="center"/>
    </xf>
    <xf numFmtId="3" fontId="13" fillId="33" borderId="24" xfId="0" applyNumberFormat="1" applyFont="1" applyFill="1" applyBorder="1" applyAlignment="1">
      <alignment vertical="center"/>
    </xf>
    <xf numFmtId="49" fontId="15" fillId="34" borderId="0" xfId="0" applyNumberFormat="1" applyFont="1" applyFill="1" applyBorder="1" applyAlignment="1" applyProtection="1">
      <alignment horizontal="left" vertical="top" wrapText="1"/>
      <protection locked="0"/>
    </xf>
    <xf numFmtId="49" fontId="15" fillId="34" borderId="0" xfId="0" applyNumberFormat="1" applyFont="1" applyFill="1" applyBorder="1" applyAlignment="1" applyProtection="1">
      <alignment vertical="top"/>
      <protection locked="0"/>
    </xf>
    <xf numFmtId="0" fontId="15" fillId="0" borderId="33" xfId="0" applyFont="1" applyFill="1" applyBorder="1" applyAlignment="1">
      <alignment vertical="top"/>
    </xf>
    <xf numFmtId="49" fontId="15" fillId="0" borderId="34" xfId="0" applyNumberFormat="1" applyFont="1" applyFill="1" applyBorder="1" applyAlignment="1">
      <alignment horizontal="left" vertical="top" wrapText="1"/>
    </xf>
    <xf numFmtId="0" fontId="15" fillId="0" borderId="34" xfId="0" applyFont="1" applyFill="1" applyBorder="1" applyAlignment="1">
      <alignment horizontal="center" vertical="top" shrinkToFit="1"/>
    </xf>
    <xf numFmtId="4" fontId="15" fillId="0" borderId="34" xfId="0" applyNumberFormat="1" applyFont="1" applyFill="1" applyBorder="1" applyAlignment="1">
      <alignment vertical="top" shrinkToFit="1"/>
    </xf>
    <xf numFmtId="4" fontId="15" fillId="0" borderId="34" xfId="0" applyNumberFormat="1" applyFont="1" applyFill="1" applyBorder="1" applyAlignment="1" applyProtection="1">
      <alignment vertical="top" shrinkToFit="1"/>
      <protection locked="0"/>
    </xf>
    <xf numFmtId="4" fontId="15" fillId="0" borderId="35" xfId="0" applyNumberFormat="1" applyFont="1" applyFill="1" applyBorder="1" applyAlignment="1">
      <alignment vertical="top" shrinkToFit="1"/>
    </xf>
    <xf numFmtId="49" fontId="15" fillId="34" borderId="21" xfId="0" applyNumberFormat="1" applyFont="1" applyFill="1" applyBorder="1" applyAlignment="1" applyProtection="1">
      <alignment horizontal="left" vertical="top" wrapText="1"/>
      <protection locked="0"/>
    </xf>
    <xf numFmtId="49" fontId="15" fillId="34" borderId="21" xfId="0" applyNumberFormat="1" applyFont="1" applyFill="1" applyBorder="1" applyAlignment="1" applyProtection="1">
      <alignment vertical="top"/>
      <protection locked="0"/>
    </xf>
    <xf numFmtId="4" fontId="15" fillId="0" borderId="39" xfId="0" applyNumberFormat="1" applyFont="1" applyBorder="1" applyAlignment="1">
      <alignment vertical="top" shrinkToFit="1"/>
    </xf>
    <xf numFmtId="49" fontId="15" fillId="0" borderId="0" xfId="0" applyNumberFormat="1" applyFont="1" applyFill="1" applyBorder="1" applyAlignment="1">
      <alignment vertical="top"/>
    </xf>
    <xf numFmtId="4" fontId="15" fillId="0" borderId="0" xfId="0" applyNumberFormat="1" applyFont="1" applyBorder="1" applyAlignment="1">
      <alignment vertical="top" shrinkToFit="1"/>
    </xf>
    <xf numFmtId="49" fontId="15" fillId="0" borderId="34" xfId="0" applyNumberFormat="1" applyFont="1" applyBorder="1" applyAlignment="1">
      <alignment vertical="top"/>
    </xf>
    <xf numFmtId="49" fontId="15" fillId="0" borderId="34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4" fontId="15" fillId="0" borderId="0" xfId="0" applyNumberFormat="1" applyFont="1" applyBorder="1" applyAlignment="1">
      <alignment vertical="top" shrinkToFit="1"/>
    </xf>
    <xf numFmtId="0" fontId="15" fillId="0" borderId="33" xfId="0" applyFont="1" applyBorder="1" applyAlignment="1">
      <alignment vertical="top"/>
    </xf>
    <xf numFmtId="0" fontId="15" fillId="0" borderId="34" xfId="0" applyFont="1" applyBorder="1" applyAlignment="1">
      <alignment horizontal="center" vertical="top" shrinkToFit="1"/>
    </xf>
    <xf numFmtId="4" fontId="15" fillId="34" borderId="34" xfId="0" applyNumberFormat="1" applyFont="1" applyFill="1" applyBorder="1" applyAlignment="1" applyProtection="1">
      <alignment vertical="top" shrinkToFit="1"/>
      <protection locked="0"/>
    </xf>
    <xf numFmtId="4" fontId="15" fillId="0" borderId="34" xfId="0" applyNumberFormat="1" applyFont="1" applyBorder="1" applyAlignment="1">
      <alignment vertical="top" shrinkToFit="1"/>
    </xf>
    <xf numFmtId="49" fontId="15" fillId="34" borderId="21" xfId="0" applyNumberFormat="1" applyFont="1" applyFill="1" applyBorder="1" applyAlignment="1" applyProtection="1">
      <alignment horizontal="left" vertical="top" wrapText="1"/>
      <protection locked="0"/>
    </xf>
    <xf numFmtId="49" fontId="15" fillId="34" borderId="21" xfId="0" applyNumberFormat="1" applyFont="1" applyFill="1" applyBorder="1" applyAlignment="1" applyProtection="1">
      <alignment vertical="top"/>
      <protection locked="0"/>
    </xf>
    <xf numFmtId="49" fontId="15" fillId="0" borderId="34" xfId="0" applyNumberFormat="1" applyFont="1" applyFill="1" applyBorder="1" applyAlignment="1">
      <alignment vertical="top"/>
    </xf>
    <xf numFmtId="49" fontId="15" fillId="0" borderId="34" xfId="0" applyNumberFormat="1" applyFont="1" applyFill="1" applyBorder="1" applyAlignment="1">
      <alignment horizontal="left" vertical="top" wrapText="1"/>
    </xf>
    <xf numFmtId="49" fontId="15" fillId="34" borderId="0" xfId="0" applyNumberFormat="1" applyFont="1" applyFill="1" applyBorder="1" applyAlignment="1" applyProtection="1">
      <alignment horizontal="left" vertical="top" wrapText="1"/>
      <protection locked="0"/>
    </xf>
    <xf numFmtId="49" fontId="15" fillId="34" borderId="0" xfId="0" applyNumberFormat="1" applyFont="1" applyFill="1" applyBorder="1" applyAlignment="1" applyProtection="1">
      <alignment vertical="top"/>
      <protection locked="0"/>
    </xf>
    <xf numFmtId="164" fontId="15" fillId="0" borderId="34" xfId="0" applyNumberFormat="1" applyFont="1" applyFill="1" applyBorder="1" applyAlignment="1">
      <alignment vertical="top" shrinkToFit="1"/>
    </xf>
    <xf numFmtId="0" fontId="0" fillId="0" borderId="0" xfId="0" applyAlignment="1">
      <alignment/>
    </xf>
    <xf numFmtId="49" fontId="0" fillId="0" borderId="17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3" fillId="0" borderId="24" xfId="0" applyNumberFormat="1" applyFont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4" fontId="15" fillId="0" borderId="0" xfId="0" applyNumberFormat="1" applyFont="1" applyBorder="1" applyAlignment="1">
      <alignment vertical="top" shrinkToFit="1"/>
    </xf>
    <xf numFmtId="4" fontId="15" fillId="34" borderId="0" xfId="0" applyNumberFormat="1" applyFont="1" applyFill="1" applyBorder="1" applyAlignment="1" applyProtection="1">
      <alignment vertical="top" shrinkToFit="1"/>
      <protection locked="0"/>
    </xf>
    <xf numFmtId="0" fontId="5" fillId="33" borderId="31" xfId="0" applyFont="1" applyFill="1" applyBorder="1" applyAlignment="1">
      <alignment vertical="top"/>
    </xf>
    <xf numFmtId="49" fontId="5" fillId="33" borderId="21" xfId="0" applyNumberFormat="1" applyFont="1" applyFill="1" applyBorder="1" applyAlignment="1">
      <alignment vertical="top"/>
    </xf>
    <xf numFmtId="0" fontId="5" fillId="33" borderId="21" xfId="0" applyFont="1" applyFill="1" applyBorder="1" applyAlignment="1">
      <alignment horizontal="center" vertical="top" shrinkToFit="1"/>
    </xf>
    <xf numFmtId="164" fontId="5" fillId="33" borderId="21" xfId="0" applyNumberFormat="1" applyFont="1" applyFill="1" applyBorder="1" applyAlignment="1">
      <alignment vertical="top" shrinkToFit="1"/>
    </xf>
    <xf numFmtId="4" fontId="5" fillId="33" borderId="21" xfId="0" applyNumberFormat="1" applyFont="1" applyFill="1" applyBorder="1" applyAlignment="1">
      <alignment vertical="top" shrinkToFit="1"/>
    </xf>
    <xf numFmtId="4" fontId="5" fillId="33" borderId="32" xfId="0" applyNumberFormat="1" applyFont="1" applyFill="1" applyBorder="1" applyAlignment="1">
      <alignment vertical="top" shrinkToFit="1"/>
    </xf>
    <xf numFmtId="0" fontId="15" fillId="0" borderId="33" xfId="0" applyFont="1" applyBorder="1" applyAlignment="1">
      <alignment vertical="top"/>
    </xf>
    <xf numFmtId="49" fontId="15" fillId="0" borderId="34" xfId="0" applyNumberFormat="1" applyFont="1" applyBorder="1" applyAlignment="1">
      <alignment vertical="top"/>
    </xf>
    <xf numFmtId="0" fontId="15" fillId="0" borderId="34" xfId="0" applyFont="1" applyBorder="1" applyAlignment="1">
      <alignment horizontal="center" vertical="top" shrinkToFit="1"/>
    </xf>
    <xf numFmtId="164" fontId="15" fillId="0" borderId="34" xfId="0" applyNumberFormat="1" applyFont="1" applyBorder="1" applyAlignment="1">
      <alignment vertical="top" shrinkToFit="1"/>
    </xf>
    <xf numFmtId="4" fontId="15" fillId="34" borderId="34" xfId="0" applyNumberFormat="1" applyFont="1" applyFill="1" applyBorder="1" applyAlignment="1" applyProtection="1">
      <alignment vertical="top" shrinkToFit="1"/>
      <protection locked="0"/>
    </xf>
    <xf numFmtId="4" fontId="15" fillId="0" borderId="34" xfId="0" applyNumberFormat="1" applyFont="1" applyBorder="1" applyAlignment="1">
      <alignment vertical="top" shrinkToFit="1"/>
    </xf>
    <xf numFmtId="4" fontId="15" fillId="0" borderId="35" xfId="0" applyNumberFormat="1" applyFont="1" applyBorder="1" applyAlignment="1">
      <alignment vertical="top" shrinkToFit="1"/>
    </xf>
    <xf numFmtId="49" fontId="5" fillId="33" borderId="21" xfId="0" applyNumberFormat="1" applyFont="1" applyFill="1" applyBorder="1" applyAlignment="1">
      <alignment horizontal="left" vertical="top" wrapText="1"/>
    </xf>
    <xf numFmtId="49" fontId="15" fillId="0" borderId="34" xfId="0" applyNumberFormat="1" applyFont="1" applyBorder="1" applyAlignment="1">
      <alignment horizontal="left" vertical="top" wrapText="1"/>
    </xf>
    <xf numFmtId="164" fontId="15" fillId="0" borderId="34" xfId="0" applyNumberFormat="1" applyFont="1" applyFill="1" applyBorder="1" applyAlignment="1">
      <alignment vertical="top" shrinkToFit="1"/>
    </xf>
    <xf numFmtId="49" fontId="15" fillId="0" borderId="21" xfId="0" applyNumberFormat="1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center" vertical="top" shrinkToFit="1"/>
    </xf>
    <xf numFmtId="164" fontId="15" fillId="0" borderId="21" xfId="0" applyNumberFormat="1" applyFont="1" applyFill="1" applyBorder="1" applyAlignment="1">
      <alignment vertical="top" shrinkToFit="1"/>
    </xf>
    <xf numFmtId="4" fontId="15" fillId="0" borderId="21" xfId="0" applyNumberFormat="1" applyFont="1" applyFill="1" applyBorder="1" applyAlignment="1" applyProtection="1">
      <alignment vertical="top" shrinkToFit="1"/>
      <protection locked="0"/>
    </xf>
    <xf numFmtId="4" fontId="15" fillId="0" borderId="21" xfId="0" applyNumberFormat="1" applyFont="1" applyFill="1" applyBorder="1" applyAlignment="1">
      <alignment vertical="top" shrinkToFit="1"/>
    </xf>
    <xf numFmtId="49" fontId="15" fillId="0" borderId="40" xfId="0" applyNumberFormat="1" applyFont="1" applyBorder="1" applyAlignment="1">
      <alignment horizontal="left" vertical="top" wrapText="1"/>
    </xf>
    <xf numFmtId="0" fontId="15" fillId="0" borderId="40" xfId="0" applyFont="1" applyBorder="1" applyAlignment="1">
      <alignment horizontal="center" vertical="top" shrinkToFit="1"/>
    </xf>
    <xf numFmtId="4" fontId="15" fillId="34" borderId="40" xfId="0" applyNumberFormat="1" applyFont="1" applyFill="1" applyBorder="1" applyAlignment="1" applyProtection="1">
      <alignment vertical="top" shrinkToFit="1"/>
      <protection locked="0"/>
    </xf>
    <xf numFmtId="4" fontId="15" fillId="0" borderId="40" xfId="0" applyNumberFormat="1" applyFont="1" applyBorder="1" applyAlignment="1">
      <alignment vertical="top" shrinkToFit="1"/>
    </xf>
    <xf numFmtId="49" fontId="15" fillId="0" borderId="34" xfId="0" applyNumberFormat="1" applyFont="1" applyFill="1" applyBorder="1" applyAlignment="1">
      <alignment vertical="top"/>
    </xf>
    <xf numFmtId="0" fontId="13" fillId="33" borderId="25" xfId="0" applyFont="1" applyFill="1" applyBorder="1" applyAlignment="1">
      <alignment vertical="center"/>
    </xf>
    <xf numFmtId="0" fontId="13" fillId="33" borderId="25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vertical="center" wrapText="1"/>
    </xf>
    <xf numFmtId="4" fontId="13" fillId="33" borderId="24" xfId="0" applyNumberFormat="1" applyFont="1" applyFill="1" applyBorder="1" applyAlignment="1">
      <alignment horizontal="center" vertical="center"/>
    </xf>
    <xf numFmtId="3" fontId="13" fillId="0" borderId="24" xfId="0" applyNumberFormat="1" applyFont="1" applyBorder="1" applyAlignment="1">
      <alignment vertical="center"/>
    </xf>
    <xf numFmtId="49" fontId="15" fillId="34" borderId="0" xfId="0" applyNumberFormat="1" applyFont="1" applyFill="1" applyBorder="1" applyAlignment="1" applyProtection="1">
      <alignment horizontal="left" vertical="top" wrapText="1"/>
      <protection locked="0"/>
    </xf>
    <xf numFmtId="49" fontId="15" fillId="34" borderId="0" xfId="0" applyNumberFormat="1" applyFont="1" applyFill="1" applyBorder="1" applyAlignment="1" applyProtection="1">
      <alignment vertical="top"/>
      <protection locked="0"/>
    </xf>
    <xf numFmtId="49" fontId="15" fillId="34" borderId="21" xfId="0" applyNumberFormat="1" applyFont="1" applyFill="1" applyBorder="1" applyAlignment="1" applyProtection="1">
      <alignment horizontal="left" vertical="top" wrapText="1"/>
      <protection locked="0"/>
    </xf>
    <xf numFmtId="49" fontId="15" fillId="34" borderId="21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shrinkToFit="1"/>
    </xf>
    <xf numFmtId="164" fontId="15" fillId="0" borderId="0" xfId="0" applyNumberFormat="1" applyFont="1" applyBorder="1" applyAlignment="1">
      <alignment vertical="top" shrinkToFit="1"/>
    </xf>
    <xf numFmtId="49" fontId="15" fillId="0" borderId="34" xfId="0" applyNumberFormat="1" applyFont="1" applyBorder="1" applyAlignment="1">
      <alignment horizontal="left" vertical="top" wrapText="1"/>
    </xf>
    <xf numFmtId="0" fontId="15" fillId="0" borderId="34" xfId="0" applyFont="1" applyBorder="1" applyAlignment="1">
      <alignment horizontal="center" vertical="top" shrinkToFit="1"/>
    </xf>
    <xf numFmtId="164" fontId="15" fillId="0" borderId="34" xfId="0" applyNumberFormat="1" applyFont="1" applyBorder="1" applyAlignment="1">
      <alignment vertical="top" shrinkToFit="1"/>
    </xf>
    <xf numFmtId="4" fontId="15" fillId="34" borderId="34" xfId="0" applyNumberFormat="1" applyFont="1" applyFill="1" applyBorder="1" applyAlignment="1" applyProtection="1">
      <alignment vertical="top" shrinkToFit="1"/>
      <protection locked="0"/>
    </xf>
    <xf numFmtId="4" fontId="15" fillId="0" borderId="34" xfId="0" applyNumberFormat="1" applyFont="1" applyBorder="1" applyAlignment="1">
      <alignment vertical="top" shrinkToFit="1"/>
    </xf>
    <xf numFmtId="49" fontId="15" fillId="0" borderId="41" xfId="0" applyNumberFormat="1" applyFont="1" applyBorder="1" applyAlignment="1">
      <alignment horizontal="left" vertical="top" wrapText="1"/>
    </xf>
    <xf numFmtId="0" fontId="15" fillId="0" borderId="41" xfId="0" applyFont="1" applyBorder="1" applyAlignment="1">
      <alignment horizontal="center" vertical="top" shrinkToFit="1"/>
    </xf>
    <xf numFmtId="164" fontId="15" fillId="0" borderId="41" xfId="0" applyNumberFormat="1" applyFont="1" applyBorder="1" applyAlignment="1">
      <alignment vertical="top" shrinkToFit="1"/>
    </xf>
    <xf numFmtId="4" fontId="15" fillId="34" borderId="41" xfId="0" applyNumberFormat="1" applyFont="1" applyFill="1" applyBorder="1" applyAlignment="1" applyProtection="1">
      <alignment vertical="top" shrinkToFit="1"/>
      <protection locked="0"/>
    </xf>
    <xf numFmtId="4" fontId="15" fillId="0" borderId="41" xfId="0" applyNumberFormat="1" applyFont="1" applyBorder="1" applyAlignment="1">
      <alignment vertical="top" shrinkToFit="1"/>
    </xf>
    <xf numFmtId="49" fontId="15" fillId="34" borderId="0" xfId="0" applyNumberFormat="1" applyFont="1" applyFill="1" applyBorder="1" applyAlignment="1" applyProtection="1">
      <alignment horizontal="left" vertical="top" wrapText="1"/>
      <protection locked="0"/>
    </xf>
    <xf numFmtId="49" fontId="15" fillId="34" borderId="0" xfId="0" applyNumberFormat="1" applyFont="1" applyFill="1" applyBorder="1" applyAlignment="1" applyProtection="1">
      <alignment vertical="top"/>
      <protection locked="0"/>
    </xf>
    <xf numFmtId="49" fontId="15" fillId="34" borderId="21" xfId="0" applyNumberFormat="1" applyFont="1" applyFill="1" applyBorder="1" applyAlignment="1" applyProtection="1">
      <alignment horizontal="left" vertical="top" wrapText="1"/>
      <protection locked="0"/>
    </xf>
    <xf numFmtId="49" fontId="15" fillId="34" borderId="21" xfId="0" applyNumberFormat="1" applyFont="1" applyFill="1" applyBorder="1" applyAlignment="1" applyProtection="1">
      <alignment vertical="top"/>
      <protection locked="0"/>
    </xf>
    <xf numFmtId="49" fontId="15" fillId="34" borderId="21" xfId="0" applyNumberFormat="1" applyFont="1" applyFill="1" applyBorder="1" applyAlignment="1" applyProtection="1">
      <alignment horizontal="left" vertical="top" wrapText="1"/>
      <protection locked="0"/>
    </xf>
    <xf numFmtId="49" fontId="15" fillId="34" borderId="21" xfId="0" applyNumberFormat="1" applyFont="1" applyFill="1" applyBorder="1" applyAlignment="1" applyProtection="1">
      <alignment vertical="top"/>
      <protection locked="0"/>
    </xf>
    <xf numFmtId="49" fontId="15" fillId="34" borderId="0" xfId="0" applyNumberFormat="1" applyFont="1" applyFill="1" applyBorder="1" applyAlignment="1" applyProtection="1">
      <alignment horizontal="left" vertical="top" wrapText="1"/>
      <protection locked="0"/>
    </xf>
    <xf numFmtId="49" fontId="15" fillId="34" borderId="0" xfId="0" applyNumberFormat="1" applyFont="1" applyFill="1" applyBorder="1" applyAlignment="1" applyProtection="1">
      <alignment vertical="top"/>
      <protection locked="0"/>
    </xf>
    <xf numFmtId="49" fontId="5" fillId="0" borderId="17" xfId="0" applyNumberFormat="1" applyFont="1" applyBorder="1" applyAlignment="1">
      <alignment vertical="center"/>
    </xf>
    <xf numFmtId="164" fontId="15" fillId="36" borderId="34" xfId="0" applyNumberFormat="1" applyFont="1" applyFill="1" applyBorder="1" applyAlignment="1">
      <alignment vertical="top" shrinkToFit="1"/>
    </xf>
    <xf numFmtId="0" fontId="15" fillId="36" borderId="33" xfId="0" applyFont="1" applyFill="1" applyBorder="1" applyAlignment="1">
      <alignment vertical="top"/>
    </xf>
    <xf numFmtId="49" fontId="15" fillId="36" borderId="34" xfId="0" applyNumberFormat="1" applyFont="1" applyFill="1" applyBorder="1" applyAlignment="1">
      <alignment vertical="top"/>
    </xf>
    <xf numFmtId="49" fontId="15" fillId="36" borderId="34" xfId="0" applyNumberFormat="1" applyFont="1" applyFill="1" applyBorder="1" applyAlignment="1">
      <alignment horizontal="left" vertical="top" wrapText="1"/>
    </xf>
    <xf numFmtId="0" fontId="15" fillId="36" borderId="34" xfId="0" applyFont="1" applyFill="1" applyBorder="1" applyAlignment="1">
      <alignment horizontal="center" vertical="top" shrinkToFit="1"/>
    </xf>
    <xf numFmtId="4" fontId="15" fillId="36" borderId="34" xfId="0" applyNumberFormat="1" applyFont="1" applyFill="1" applyBorder="1" applyAlignment="1">
      <alignment vertical="top" shrinkToFit="1"/>
    </xf>
    <xf numFmtId="4" fontId="15" fillId="36" borderId="34" xfId="0" applyNumberFormat="1" applyFont="1" applyFill="1" applyBorder="1" applyAlignment="1" applyProtection="1">
      <alignment vertical="top" shrinkToFit="1"/>
      <protection locked="0"/>
    </xf>
    <xf numFmtId="4" fontId="15" fillId="0" borderId="42" xfId="0" applyNumberFormat="1" applyFont="1" applyBorder="1" applyAlignment="1">
      <alignment vertical="top" shrinkToFit="1"/>
    </xf>
    <xf numFmtId="49" fontId="15" fillId="0" borderId="34" xfId="0" applyNumberFormat="1" applyFont="1" applyFill="1" applyBorder="1" applyAlignment="1">
      <alignment vertical="top"/>
    </xf>
    <xf numFmtId="49" fontId="15" fillId="0" borderId="34" xfId="0" applyNumberFormat="1" applyFont="1" applyFill="1" applyBorder="1" applyAlignment="1">
      <alignment horizontal="left" vertical="top" wrapText="1"/>
    </xf>
    <xf numFmtId="4" fontId="15" fillId="0" borderId="34" xfId="0" applyNumberFormat="1" applyFont="1" applyFill="1" applyBorder="1" applyAlignment="1">
      <alignment vertical="top" shrinkToFit="1"/>
    </xf>
    <xf numFmtId="0" fontId="15" fillId="0" borderId="0" xfId="0" applyFont="1" applyFill="1" applyBorder="1" applyAlignment="1">
      <alignment vertical="top"/>
    </xf>
    <xf numFmtId="164" fontId="15" fillId="0" borderId="34" xfId="0" applyNumberFormat="1" applyFont="1" applyFill="1" applyBorder="1" applyAlignment="1">
      <alignment vertical="top" shrinkToFit="1"/>
    </xf>
    <xf numFmtId="49" fontId="15" fillId="0" borderId="34" xfId="0" applyNumberFormat="1" applyFont="1" applyBorder="1" applyAlignment="1">
      <alignment vertical="top"/>
    </xf>
    <xf numFmtId="49" fontId="15" fillId="36" borderId="34" xfId="0" applyNumberFormat="1" applyFont="1" applyFill="1" applyBorder="1" applyAlignment="1">
      <alignment vertical="top"/>
    </xf>
    <xf numFmtId="49" fontId="15" fillId="36" borderId="34" xfId="0" applyNumberFormat="1" applyFont="1" applyFill="1" applyBorder="1" applyAlignment="1">
      <alignment horizontal="left" vertical="top" wrapText="1"/>
    </xf>
    <xf numFmtId="0" fontId="15" fillId="36" borderId="34" xfId="0" applyFont="1" applyFill="1" applyBorder="1" applyAlignment="1">
      <alignment horizontal="center" vertical="top" shrinkToFit="1"/>
    </xf>
    <xf numFmtId="164" fontId="15" fillId="36" borderId="34" xfId="0" applyNumberFormat="1" applyFont="1" applyFill="1" applyBorder="1" applyAlignment="1">
      <alignment vertical="top" shrinkToFit="1"/>
    </xf>
    <xf numFmtId="4" fontId="15" fillId="36" borderId="34" xfId="0" applyNumberFormat="1" applyFont="1" applyFill="1" applyBorder="1" applyAlignment="1">
      <alignment vertical="top" shrinkToFit="1"/>
    </xf>
    <xf numFmtId="4" fontId="15" fillId="36" borderId="34" xfId="0" applyNumberFormat="1" applyFont="1" applyFill="1" applyBorder="1" applyAlignment="1" applyProtection="1">
      <alignment vertical="top" shrinkToFit="1"/>
      <protection locked="0"/>
    </xf>
    <xf numFmtId="4" fontId="15" fillId="36" borderId="35" xfId="0" applyNumberFormat="1" applyFont="1" applyFill="1" applyBorder="1" applyAlignment="1">
      <alignment vertical="top" shrinkToFit="1"/>
    </xf>
    <xf numFmtId="4" fontId="15" fillId="0" borderId="0" xfId="0" applyNumberFormat="1" applyFont="1" applyFill="1" applyBorder="1" applyAlignment="1" applyProtection="1">
      <alignment vertical="top" shrinkToFit="1"/>
      <protection locked="0"/>
    </xf>
    <xf numFmtId="4" fontId="15" fillId="36" borderId="39" xfId="0" applyNumberFormat="1" applyFont="1" applyFill="1" applyBorder="1" applyAlignment="1">
      <alignment vertical="top" shrinkToFit="1"/>
    </xf>
    <xf numFmtId="49" fontId="3" fillId="36" borderId="25" xfId="0" applyNumberFormat="1" applyFont="1" applyFill="1" applyBorder="1" applyAlignment="1">
      <alignment vertical="center"/>
    </xf>
    <xf numFmtId="4" fontId="3" fillId="36" borderId="24" xfId="0" applyNumberFormat="1" applyFont="1" applyFill="1" applyBorder="1" applyAlignment="1">
      <alignment horizontal="center" vertical="center"/>
    </xf>
    <xf numFmtId="4" fontId="3" fillId="36" borderId="24" xfId="0" applyNumberFormat="1" applyFont="1" applyFill="1" applyBorder="1" applyAlignment="1">
      <alignment vertical="center"/>
    </xf>
    <xf numFmtId="3" fontId="3" fillId="36" borderId="24" xfId="0" applyNumberFormat="1" applyFont="1" applyFill="1" applyBorder="1" applyAlignment="1">
      <alignment vertical="center"/>
    </xf>
    <xf numFmtId="49" fontId="3" fillId="36" borderId="25" xfId="0" applyNumberFormat="1" applyFont="1" applyFill="1" applyBorder="1" applyAlignment="1">
      <alignment vertical="center"/>
    </xf>
    <xf numFmtId="4" fontId="3" fillId="36" borderId="24" xfId="0" applyNumberFormat="1" applyFont="1" applyFill="1" applyBorder="1" applyAlignment="1">
      <alignment horizontal="center" vertical="center"/>
    </xf>
    <xf numFmtId="4" fontId="3" fillId="36" borderId="24" xfId="0" applyNumberFormat="1" applyFont="1" applyFill="1" applyBorder="1" applyAlignment="1">
      <alignment vertical="center"/>
    </xf>
    <xf numFmtId="4" fontId="13" fillId="36" borderId="24" xfId="0" applyNumberFormat="1" applyFont="1" applyFill="1" applyBorder="1" applyAlignment="1">
      <alignment vertical="center"/>
    </xf>
    <xf numFmtId="3" fontId="13" fillId="36" borderId="24" xfId="0" applyNumberFormat="1" applyFont="1" applyFill="1" applyBorder="1" applyAlignment="1">
      <alignment vertical="center"/>
    </xf>
    <xf numFmtId="0" fontId="0" fillId="37" borderId="17" xfId="0" applyFill="1" applyBorder="1" applyAlignment="1">
      <alignment wrapText="1"/>
    </xf>
    <xf numFmtId="0" fontId="0" fillId="37" borderId="17" xfId="0" applyFill="1" applyBorder="1" applyAlignment="1">
      <alignment/>
    </xf>
    <xf numFmtId="0" fontId="0" fillId="37" borderId="36" xfId="0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" fillId="37" borderId="25" xfId="0" applyFont="1" applyFill="1" applyBorder="1" applyAlignment="1">
      <alignment/>
    </xf>
    <xf numFmtId="164" fontId="15" fillId="0" borderId="40" xfId="0" applyNumberFormat="1" applyFont="1" applyFill="1" applyBorder="1" applyAlignment="1">
      <alignment vertical="top" shrinkToFit="1"/>
    </xf>
    <xf numFmtId="0" fontId="3" fillId="38" borderId="0" xfId="0" applyFont="1" applyFill="1" applyAlignment="1">
      <alignment horizontal="left" wrapText="1"/>
    </xf>
    <xf numFmtId="49" fontId="3" fillId="0" borderId="25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36" borderId="25" xfId="0" applyNumberFormat="1" applyFont="1" applyFill="1" applyBorder="1" applyAlignment="1">
      <alignment vertical="center" wrapText="1"/>
    </xf>
    <xf numFmtId="49" fontId="3" fillId="36" borderId="17" xfId="0" applyNumberFormat="1" applyFont="1" applyFill="1" applyBorder="1" applyAlignment="1">
      <alignment vertical="center" wrapText="1"/>
    </xf>
    <xf numFmtId="0" fontId="13" fillId="33" borderId="25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/>
    </xf>
    <xf numFmtId="0" fontId="13" fillId="33" borderId="36" xfId="0" applyFont="1" applyFill="1" applyBorder="1" applyAlignment="1">
      <alignment horizontal="left" vertical="center"/>
    </xf>
    <xf numFmtId="0" fontId="20" fillId="39" borderId="0" xfId="0" applyFont="1" applyFill="1" applyAlignment="1">
      <alignment horizontal="center"/>
    </xf>
    <xf numFmtId="49" fontId="13" fillId="36" borderId="25" xfId="0" applyNumberFormat="1" applyFont="1" applyFill="1" applyBorder="1" applyAlignment="1">
      <alignment horizontal="left" vertical="center"/>
    </xf>
    <xf numFmtId="49" fontId="13" fillId="36" borderId="17" xfId="0" applyNumberFormat="1" applyFont="1" applyFill="1" applyBorder="1" applyAlignment="1">
      <alignment horizontal="left" vertical="center"/>
    </xf>
    <xf numFmtId="49" fontId="13" fillId="36" borderId="36" xfId="0" applyNumberFormat="1" applyFont="1" applyFill="1" applyBorder="1" applyAlignment="1">
      <alignment horizontal="left" vertical="center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35" borderId="36" xfId="0" applyFont="1" applyFill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36" xfId="0" applyNumberFormat="1" applyFont="1" applyBorder="1" applyAlignment="1">
      <alignment horizontal="left" vertical="center"/>
    </xf>
    <xf numFmtId="4" fontId="0" fillId="0" borderId="17" xfId="0" applyNumberFormat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4" fontId="0" fillId="33" borderId="25" xfId="0" applyNumberFormat="1" applyFill="1" applyBorder="1" applyAlignment="1">
      <alignment vertical="center"/>
    </xf>
    <xf numFmtId="4" fontId="0" fillId="33" borderId="17" xfId="0" applyNumberFormat="1" applyFill="1" applyBorder="1" applyAlignment="1">
      <alignment vertical="center"/>
    </xf>
    <xf numFmtId="49" fontId="3" fillId="36" borderId="25" xfId="0" applyNumberFormat="1" applyFont="1" applyFill="1" applyBorder="1" applyAlignment="1">
      <alignment vertical="center" wrapText="1"/>
    </xf>
    <xf numFmtId="49" fontId="3" fillId="36" borderId="17" xfId="0" applyNumberFormat="1" applyFont="1" applyFill="1" applyBorder="1" applyAlignment="1">
      <alignment vertical="center" wrapText="1"/>
    </xf>
    <xf numFmtId="0" fontId="19" fillId="37" borderId="25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9" fillId="37" borderId="36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center" wrapText="1"/>
    </xf>
    <xf numFmtId="4" fontId="8" fillId="0" borderId="25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0" fillId="0" borderId="25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5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4" fontId="9" fillId="33" borderId="29" xfId="0" applyNumberFormat="1" applyFont="1" applyFill="1" applyBorder="1" applyAlignment="1">
      <alignment horizontal="right" vertical="center"/>
    </xf>
    <xf numFmtId="2" fontId="9" fillId="33" borderId="29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8" fillId="0" borderId="36" xfId="0" applyNumberFormat="1" applyFont="1" applyBorder="1" applyAlignment="1">
      <alignment horizontal="right" vertical="center" inden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9" fontId="4" fillId="33" borderId="21" xfId="0" applyNumberFormat="1" applyFont="1" applyFill="1" applyBorder="1" applyAlignment="1">
      <alignment horizontal="left" vertical="center"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34" borderId="21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5" fillId="34" borderId="0" xfId="0" applyFont="1" applyFill="1" applyAlignment="1" applyProtection="1">
      <alignment horizontal="left" vertical="center"/>
      <protection locked="0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15" fillId="0" borderId="21" xfId="0" applyNumberFormat="1" applyFont="1" applyBorder="1" applyAlignment="1">
      <alignment horizontal="left" vertical="top" wrapText="1"/>
    </xf>
    <xf numFmtId="0" fontId="15" fillId="0" borderId="21" xfId="0" applyNumberFormat="1" applyFont="1" applyBorder="1" applyAlignment="1">
      <alignment vertical="top" wrapText="1"/>
    </xf>
    <xf numFmtId="49" fontId="15" fillId="34" borderId="0" xfId="0" applyNumberFormat="1" applyFont="1" applyFill="1" applyBorder="1" applyAlignment="1" applyProtection="1">
      <alignment horizontal="left" vertical="top" wrapText="1"/>
      <protection locked="0"/>
    </xf>
    <xf numFmtId="49" fontId="15" fillId="34" borderId="0" xfId="0" applyNumberFormat="1" applyFont="1" applyFill="1" applyBorder="1" applyAlignment="1" applyProtection="1">
      <alignment vertical="top"/>
      <protection locked="0"/>
    </xf>
    <xf numFmtId="49" fontId="15" fillId="34" borderId="21" xfId="0" applyNumberFormat="1" applyFont="1" applyFill="1" applyBorder="1" applyAlignment="1" applyProtection="1">
      <alignment horizontal="left" vertical="top" wrapText="1"/>
      <protection locked="0"/>
    </xf>
    <xf numFmtId="49" fontId="15" fillId="34" borderId="21" xfId="0" applyNumberFormat="1" applyFont="1" applyFill="1" applyBorder="1" applyAlignment="1" applyProtection="1">
      <alignment vertical="top"/>
      <protection locked="0"/>
    </xf>
    <xf numFmtId="0" fontId="16" fillId="0" borderId="21" xfId="0" applyNumberFormat="1" applyFont="1" applyBorder="1" applyAlignment="1">
      <alignment horizontal="left" vertical="top" wrapText="1"/>
    </xf>
    <xf numFmtId="0" fontId="16" fillId="0" borderId="21" xfId="0" applyNumberFormat="1" applyFont="1" applyBorder="1" applyAlignment="1">
      <alignment vertical="top" wrapText="1"/>
    </xf>
    <xf numFmtId="49" fontId="15" fillId="34" borderId="17" xfId="0" applyNumberFormat="1" applyFont="1" applyFill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49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pise-my.sharepoint.com/BUILDpowerS/Templates/Rozpocty/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37</v>
      </c>
    </row>
    <row r="2" spans="1:7" ht="57.75" customHeight="1">
      <c r="A2" s="371" t="s">
        <v>38</v>
      </c>
      <c r="B2" s="371"/>
      <c r="C2" s="371"/>
      <c r="D2" s="371"/>
      <c r="E2" s="371"/>
      <c r="F2" s="371"/>
      <c r="G2" s="371"/>
    </row>
  </sheetData>
  <sheetProtection password="C730" sheet="1" objects="1" scenarios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110"/>
  <sheetViews>
    <sheetView showGridLines="0" tabSelected="1" zoomScale="130" zoomScaleNormal="130" zoomScaleSheetLayoutView="75" zoomScalePageLayoutView="0" workbookViewId="0" topLeftCell="B1">
      <selection activeCell="E13" sqref="E13:G13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1" customWidth="1"/>
    <col min="4" max="4" width="13.00390625" style="51" customWidth="1"/>
    <col min="5" max="5" width="9.75390625" style="51" customWidth="1"/>
    <col min="6" max="6" width="11.75390625" style="0" customWidth="1"/>
    <col min="7" max="7" width="13.00390625" style="0" customWidth="1"/>
    <col min="8" max="8" width="11.625" style="0" customWidth="1"/>
    <col min="9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6" t="s">
        <v>35</v>
      </c>
      <c r="B1" s="417" t="s">
        <v>40</v>
      </c>
      <c r="C1" s="418"/>
      <c r="D1" s="418"/>
      <c r="E1" s="418"/>
      <c r="F1" s="418"/>
      <c r="G1" s="418"/>
      <c r="H1" s="418"/>
      <c r="I1" s="418"/>
      <c r="J1" s="419"/>
    </row>
    <row r="2" spans="1:15" ht="36" customHeight="1">
      <c r="A2" s="2"/>
      <c r="B2" s="74" t="s">
        <v>22</v>
      </c>
      <c r="C2" s="75"/>
      <c r="D2" s="76" t="s">
        <v>262</v>
      </c>
      <c r="E2" s="423" t="s">
        <v>263</v>
      </c>
      <c r="F2" s="424"/>
      <c r="G2" s="424"/>
      <c r="H2" s="424"/>
      <c r="I2" s="424"/>
      <c r="J2" s="425"/>
      <c r="O2" s="1"/>
    </row>
    <row r="3" spans="1:10" ht="27" customHeight="1">
      <c r="A3" s="2"/>
      <c r="B3" s="77" t="s">
        <v>45</v>
      </c>
      <c r="C3" s="75"/>
      <c r="D3" s="78" t="s">
        <v>43</v>
      </c>
      <c r="E3" s="426" t="s">
        <v>264</v>
      </c>
      <c r="F3" s="427"/>
      <c r="G3" s="427"/>
      <c r="H3" s="427"/>
      <c r="I3" s="427"/>
      <c r="J3" s="428"/>
    </row>
    <row r="4" spans="1:10" ht="23.25" customHeight="1">
      <c r="A4" s="73">
        <v>203</v>
      </c>
      <c r="B4" s="79" t="s">
        <v>46</v>
      </c>
      <c r="C4" s="80"/>
      <c r="D4" s="81" t="s">
        <v>262</v>
      </c>
      <c r="E4" s="434" t="s">
        <v>265</v>
      </c>
      <c r="F4" s="435"/>
      <c r="G4" s="435"/>
      <c r="H4" s="435"/>
      <c r="I4" s="435"/>
      <c r="J4" s="436"/>
    </row>
    <row r="5" spans="1:10" ht="24" customHeight="1">
      <c r="A5" s="2"/>
      <c r="B5" s="31" t="s">
        <v>161</v>
      </c>
      <c r="D5" s="399" t="s">
        <v>257</v>
      </c>
      <c r="E5" s="399"/>
      <c r="F5" s="399"/>
      <c r="G5" s="399"/>
      <c r="H5" s="18" t="s">
        <v>39</v>
      </c>
      <c r="I5" s="194" t="s">
        <v>261</v>
      </c>
      <c r="J5" s="8"/>
    </row>
    <row r="6" spans="1:10" ht="15.75" customHeight="1">
      <c r="A6" s="2"/>
      <c r="B6" s="28"/>
      <c r="C6" s="54"/>
      <c r="D6" s="439" t="s">
        <v>258</v>
      </c>
      <c r="E6" s="440"/>
      <c r="F6" s="440"/>
      <c r="G6" s="440"/>
      <c r="H6" s="18" t="s">
        <v>33</v>
      </c>
      <c r="I6" s="22"/>
      <c r="J6" s="8"/>
    </row>
    <row r="7" spans="1:10" ht="15.75" customHeight="1">
      <c r="A7" s="2"/>
      <c r="B7" s="29"/>
      <c r="C7" s="55"/>
      <c r="D7" s="52" t="s">
        <v>259</v>
      </c>
      <c r="E7" s="398" t="s">
        <v>260</v>
      </c>
      <c r="F7" s="398"/>
      <c r="G7" s="398"/>
      <c r="H7" s="24"/>
      <c r="I7" s="23"/>
      <c r="J7" s="34"/>
    </row>
    <row r="8" spans="1:10" ht="24" customHeight="1" hidden="1">
      <c r="A8" s="2"/>
      <c r="B8" s="31" t="s">
        <v>20</v>
      </c>
      <c r="D8" s="50"/>
      <c r="H8" s="18" t="s">
        <v>39</v>
      </c>
      <c r="I8" s="22"/>
      <c r="J8" s="8"/>
    </row>
    <row r="9" spans="1:10" ht="15.75" customHeight="1" hidden="1">
      <c r="A9" s="2"/>
      <c r="B9" s="2"/>
      <c r="D9" s="50"/>
      <c r="H9" s="18" t="s">
        <v>33</v>
      </c>
      <c r="I9" s="22"/>
      <c r="J9" s="8"/>
    </row>
    <row r="10" spans="1:10" ht="15.75" customHeight="1" hidden="1">
      <c r="A10" s="2"/>
      <c r="B10" s="35"/>
      <c r="C10" s="55"/>
      <c r="D10" s="52"/>
      <c r="E10" s="56"/>
      <c r="F10" s="24"/>
      <c r="G10" s="14"/>
      <c r="H10" s="14"/>
      <c r="I10" s="36"/>
      <c r="J10" s="34"/>
    </row>
    <row r="11" spans="1:10" ht="24" customHeight="1">
      <c r="A11" s="2"/>
      <c r="B11" s="31" t="s">
        <v>19</v>
      </c>
      <c r="D11" s="430"/>
      <c r="E11" s="430"/>
      <c r="F11" s="430"/>
      <c r="G11" s="430"/>
      <c r="H11" s="18" t="s">
        <v>39</v>
      </c>
      <c r="I11" s="83"/>
      <c r="J11" s="8"/>
    </row>
    <row r="12" spans="1:10" ht="15.75" customHeight="1">
      <c r="A12" s="2"/>
      <c r="B12" s="28"/>
      <c r="C12" s="54"/>
      <c r="D12" s="433"/>
      <c r="E12" s="433"/>
      <c r="F12" s="433"/>
      <c r="G12" s="433"/>
      <c r="H12" s="18" t="s">
        <v>33</v>
      </c>
      <c r="I12" s="83"/>
      <c r="J12" s="8"/>
    </row>
    <row r="13" spans="1:10" ht="15.75" customHeight="1">
      <c r="A13" s="2"/>
      <c r="B13" s="29"/>
      <c r="C13" s="55"/>
      <c r="D13" s="82"/>
      <c r="E13" s="437"/>
      <c r="F13" s="438"/>
      <c r="G13" s="438"/>
      <c r="H13" s="19"/>
      <c r="I13" s="23"/>
      <c r="J13" s="34"/>
    </row>
    <row r="14" spans="1:10" ht="24" customHeight="1">
      <c r="A14" s="2"/>
      <c r="B14" s="174" t="s">
        <v>21</v>
      </c>
      <c r="C14" s="399" t="s">
        <v>160</v>
      </c>
      <c r="D14" s="399"/>
      <c r="E14" s="57"/>
      <c r="F14" s="43"/>
      <c r="G14" s="43"/>
      <c r="H14" s="44"/>
      <c r="I14" s="43"/>
      <c r="J14" s="45"/>
    </row>
    <row r="15" spans="1:10" ht="32.25" customHeight="1">
      <c r="A15" s="2"/>
      <c r="B15" s="35" t="s">
        <v>31</v>
      </c>
      <c r="C15" s="58"/>
      <c r="D15" s="53"/>
      <c r="E15" s="429"/>
      <c r="F15" s="429"/>
      <c r="G15" s="431"/>
      <c r="H15" s="431"/>
      <c r="I15" s="431" t="s">
        <v>28</v>
      </c>
      <c r="J15" s="432"/>
    </row>
    <row r="16" spans="1:10" ht="23.25" customHeight="1">
      <c r="A16" s="131" t="s">
        <v>23</v>
      </c>
      <c r="B16" s="38" t="s">
        <v>23</v>
      </c>
      <c r="C16" s="59"/>
      <c r="D16" s="60"/>
      <c r="E16" s="405"/>
      <c r="F16" s="406"/>
      <c r="G16" s="405"/>
      <c r="H16" s="406"/>
      <c r="I16" s="405">
        <f>I21-I20-I19-I18</f>
        <v>0</v>
      </c>
      <c r="J16" s="407"/>
    </row>
    <row r="17" spans="1:10" ht="23.25" customHeight="1">
      <c r="A17" s="131" t="s">
        <v>24</v>
      </c>
      <c r="B17" s="38" t="s">
        <v>24</v>
      </c>
      <c r="C17" s="59"/>
      <c r="D17" s="60"/>
      <c r="E17" s="405"/>
      <c r="F17" s="406"/>
      <c r="G17" s="405"/>
      <c r="H17" s="406"/>
      <c r="I17" s="405">
        <f>0</f>
        <v>0</v>
      </c>
      <c r="J17" s="407"/>
    </row>
    <row r="18" spans="1:10" ht="23.25" customHeight="1">
      <c r="A18" s="131" t="s">
        <v>25</v>
      </c>
      <c r="B18" s="38" t="s">
        <v>25</v>
      </c>
      <c r="C18" s="59"/>
      <c r="D18" s="60"/>
      <c r="E18" s="405"/>
      <c r="F18" s="406"/>
      <c r="G18" s="405"/>
      <c r="H18" s="406"/>
      <c r="I18" s="405">
        <v>0</v>
      </c>
      <c r="J18" s="407"/>
    </row>
    <row r="19" spans="1:10" ht="23.25" customHeight="1">
      <c r="A19" s="131" t="s">
        <v>63</v>
      </c>
      <c r="B19" s="38" t="s">
        <v>26</v>
      </c>
      <c r="C19" s="59"/>
      <c r="D19" s="60"/>
      <c r="E19" s="405"/>
      <c r="F19" s="406"/>
      <c r="G19" s="405"/>
      <c r="H19" s="406"/>
      <c r="I19" s="405">
        <f>I87+I88+I104+I105</f>
        <v>0</v>
      </c>
      <c r="J19" s="407"/>
    </row>
    <row r="20" spans="1:10" ht="23.25" customHeight="1">
      <c r="A20" s="131" t="s">
        <v>64</v>
      </c>
      <c r="B20" s="38" t="s">
        <v>27</v>
      </c>
      <c r="C20" s="59"/>
      <c r="D20" s="60"/>
      <c r="E20" s="405"/>
      <c r="F20" s="406"/>
      <c r="G20" s="405"/>
      <c r="H20" s="406"/>
      <c r="I20" s="405">
        <f>I89+I90+I106+I107</f>
        <v>0</v>
      </c>
      <c r="J20" s="407"/>
    </row>
    <row r="21" spans="1:10" ht="23.25" customHeight="1">
      <c r="A21" s="2"/>
      <c r="B21" s="47" t="s">
        <v>162</v>
      </c>
      <c r="C21" s="61"/>
      <c r="D21" s="62"/>
      <c r="E21" s="408"/>
      <c r="F21" s="416"/>
      <c r="G21" s="408"/>
      <c r="H21" s="416"/>
      <c r="I21" s="408">
        <f>I53</f>
        <v>0</v>
      </c>
      <c r="J21" s="409"/>
    </row>
    <row r="22" spans="1:10" ht="33" customHeight="1">
      <c r="A22" s="2"/>
      <c r="B22" s="42" t="s">
        <v>32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>
      <c r="A23" s="2"/>
      <c r="B23" s="38" t="s">
        <v>12</v>
      </c>
      <c r="C23" s="59"/>
      <c r="D23" s="60"/>
      <c r="E23" s="64">
        <v>15</v>
      </c>
      <c r="F23" s="39" t="s">
        <v>0</v>
      </c>
      <c r="G23" s="403">
        <f>ZakladDPHSniVypocet</f>
        <v>0</v>
      </c>
      <c r="H23" s="404"/>
      <c r="I23" s="404"/>
      <c r="J23" s="40" t="str">
        <f aca="true" t="shared" si="0" ref="J23:J29">Mena</f>
        <v>CZK</v>
      </c>
    </row>
    <row r="24" spans="1:10" ht="23.25" customHeight="1" hidden="1">
      <c r="A24" s="2"/>
      <c r="B24" s="38" t="s">
        <v>13</v>
      </c>
      <c r="C24" s="59"/>
      <c r="D24" s="60"/>
      <c r="E24" s="64">
        <f>SazbaDPH1</f>
        <v>15</v>
      </c>
      <c r="F24" s="39" t="s">
        <v>0</v>
      </c>
      <c r="G24" s="401">
        <v>0</v>
      </c>
      <c r="H24" s="402"/>
      <c r="I24" s="402"/>
      <c r="J24" s="40" t="str">
        <f t="shared" si="0"/>
        <v>CZK</v>
      </c>
    </row>
    <row r="25" spans="1:10" ht="23.25" customHeight="1">
      <c r="A25" s="2"/>
      <c r="B25" s="38" t="s">
        <v>14</v>
      </c>
      <c r="C25" s="59"/>
      <c r="D25" s="60"/>
      <c r="E25" s="64">
        <v>21</v>
      </c>
      <c r="F25" s="39" t="s">
        <v>0</v>
      </c>
      <c r="G25" s="403">
        <f>I21</f>
        <v>0</v>
      </c>
      <c r="H25" s="404"/>
      <c r="I25" s="404"/>
      <c r="J25" s="40" t="str">
        <f t="shared" si="0"/>
        <v>CZK</v>
      </c>
    </row>
    <row r="26" spans="1:10" ht="23.25" customHeight="1" hidden="1">
      <c r="A26" s="2"/>
      <c r="B26" s="32" t="s">
        <v>15</v>
      </c>
      <c r="C26" s="65"/>
      <c r="D26" s="53"/>
      <c r="E26" s="66">
        <f>SazbaDPH2</f>
        <v>21</v>
      </c>
      <c r="F26" s="30" t="s">
        <v>0</v>
      </c>
      <c r="G26" s="420">
        <v>0</v>
      </c>
      <c r="H26" s="421"/>
      <c r="I26" s="421"/>
      <c r="J26" s="37" t="str">
        <f t="shared" si="0"/>
        <v>CZK</v>
      </c>
    </row>
    <row r="27" spans="1:10" ht="23.25" customHeight="1">
      <c r="A27" s="2"/>
      <c r="B27" s="38" t="s">
        <v>163</v>
      </c>
      <c r="C27" s="59"/>
      <c r="D27" s="60"/>
      <c r="E27" s="64">
        <v>21</v>
      </c>
      <c r="F27" s="39" t="s">
        <v>0</v>
      </c>
      <c r="G27" s="403">
        <f>ZakladDPHZakl/100*21</f>
        <v>0</v>
      </c>
      <c r="H27" s="404"/>
      <c r="I27" s="404"/>
      <c r="J27" s="40" t="str">
        <f t="shared" si="0"/>
        <v>CZK</v>
      </c>
    </row>
    <row r="28" spans="1:10" ht="23.25" customHeight="1" thickBot="1">
      <c r="A28" s="2">
        <f>ZakladDPHSni+ZakladDPHZakl</f>
        <v>0</v>
      </c>
      <c r="B28" s="31" t="s">
        <v>4</v>
      </c>
      <c r="C28" s="67"/>
      <c r="D28" s="68"/>
      <c r="E28" s="67"/>
      <c r="F28" s="16"/>
      <c r="G28" s="422">
        <v>0</v>
      </c>
      <c r="H28" s="422"/>
      <c r="I28" s="422"/>
      <c r="J28" s="41" t="str">
        <f t="shared" si="0"/>
        <v>CZK</v>
      </c>
    </row>
    <row r="29" spans="1:10" ht="27.75" customHeight="1" thickBot="1">
      <c r="A29" s="2">
        <f>(A28-INT(A28))*100</f>
        <v>0</v>
      </c>
      <c r="B29" s="113" t="s">
        <v>34</v>
      </c>
      <c r="C29" s="114"/>
      <c r="D29" s="114"/>
      <c r="E29" s="115"/>
      <c r="F29" s="116"/>
      <c r="G29" s="410">
        <f>ZakladDPHZakl*1.21</f>
        <v>0</v>
      </c>
      <c r="H29" s="411"/>
      <c r="I29" s="411"/>
      <c r="J29" s="117" t="str">
        <f t="shared" si="0"/>
        <v>CZK</v>
      </c>
    </row>
    <row r="30" spans="1:10" ht="27.75" customHeight="1" hidden="1" thickBot="1">
      <c r="A30" s="2"/>
      <c r="B30" s="113" t="s">
        <v>34</v>
      </c>
      <c r="C30" s="118"/>
      <c r="D30" s="118"/>
      <c r="E30" s="118"/>
      <c r="F30" s="119"/>
      <c r="G30" s="410">
        <f>ZakladDPHSni+DPHSni+ZakladDPHZakl+DPHZakl+Zaokrouhleni</f>
        <v>0</v>
      </c>
      <c r="H30" s="410"/>
      <c r="I30" s="410"/>
      <c r="J30" s="120" t="s">
        <v>50</v>
      </c>
    </row>
    <row r="31" spans="1:10" ht="12.75" customHeight="1">
      <c r="A31" s="2"/>
      <c r="B31" s="2"/>
      <c r="J31" s="9"/>
    </row>
    <row r="32" spans="1:10" ht="30" customHeight="1">
      <c r="A32" s="2"/>
      <c r="B32" s="2"/>
      <c r="J32" s="9"/>
    </row>
    <row r="33" spans="1:10" ht="18.75" customHeight="1">
      <c r="A33" s="2"/>
      <c r="B33" s="17"/>
      <c r="C33" s="69" t="s">
        <v>11</v>
      </c>
      <c r="D33" s="70"/>
      <c r="E33" s="70"/>
      <c r="F33" s="15" t="s">
        <v>10</v>
      </c>
      <c r="G33" s="26"/>
      <c r="H33" s="27"/>
      <c r="I33" s="26"/>
      <c r="J33" s="9"/>
    </row>
    <row r="34" spans="1:10" ht="47.25" customHeight="1">
      <c r="A34" s="2"/>
      <c r="B34" s="2"/>
      <c r="J34" s="9"/>
    </row>
    <row r="35" spans="1:10" s="21" customFormat="1" ht="18.75" customHeight="1">
      <c r="A35" s="20"/>
      <c r="B35" s="20"/>
      <c r="C35" s="71"/>
      <c r="D35" s="412"/>
      <c r="E35" s="413"/>
      <c r="G35" s="414"/>
      <c r="H35" s="415"/>
      <c r="I35" s="415"/>
      <c r="J35" s="25"/>
    </row>
    <row r="36" spans="1:10" ht="12.75" customHeight="1">
      <c r="A36" s="2"/>
      <c r="B36" s="2"/>
      <c r="D36" s="400" t="s">
        <v>2</v>
      </c>
      <c r="E36" s="400"/>
      <c r="H36" s="10" t="s">
        <v>3</v>
      </c>
      <c r="J36" s="9"/>
    </row>
    <row r="37" spans="1:10" ht="13.5" customHeight="1" thickBot="1">
      <c r="A37" s="11"/>
      <c r="B37" s="11"/>
      <c r="C37" s="72"/>
      <c r="D37" s="72"/>
      <c r="E37" s="72"/>
      <c r="F37" s="12"/>
      <c r="G37" s="12"/>
      <c r="H37" s="12"/>
      <c r="I37" s="12"/>
      <c r="J37" s="13"/>
    </row>
    <row r="38" spans="2:10" ht="27" customHeight="1" hidden="1">
      <c r="B38" s="86" t="s">
        <v>16</v>
      </c>
      <c r="C38" s="87"/>
      <c r="D38" s="87"/>
      <c r="E38" s="87"/>
      <c r="F38" s="88"/>
      <c r="G38" s="88"/>
      <c r="H38" s="88"/>
      <c r="I38" s="88"/>
      <c r="J38" s="89"/>
    </row>
    <row r="39" spans="1:10" ht="25.5" customHeight="1" hidden="1">
      <c r="A39" s="85" t="s">
        <v>36</v>
      </c>
      <c r="B39" s="90" t="s">
        <v>17</v>
      </c>
      <c r="C39" s="91" t="s">
        <v>5</v>
      </c>
      <c r="D39" s="91"/>
      <c r="E39" s="91"/>
      <c r="F39" s="92" t="str">
        <f>B23</f>
        <v>Základ pro sníženou DPH</v>
      </c>
      <c r="G39" s="92" t="str">
        <f>B25</f>
        <v>Základ pro základní DPH</v>
      </c>
      <c r="H39" s="93" t="s">
        <v>18</v>
      </c>
      <c r="I39" s="94" t="s">
        <v>1</v>
      </c>
      <c r="J39" s="95" t="s">
        <v>0</v>
      </c>
    </row>
    <row r="40" spans="1:10" ht="25.5" customHeight="1" hidden="1">
      <c r="A40" s="85">
        <v>1</v>
      </c>
      <c r="B40" s="96" t="s">
        <v>47</v>
      </c>
      <c r="C40" s="389"/>
      <c r="D40" s="389"/>
      <c r="E40" s="389"/>
      <c r="F40" s="97">
        <f>'etapa 1'!AE195</f>
        <v>0</v>
      </c>
      <c r="G40" s="98">
        <f>'etapa 1'!AF195</f>
        <v>0</v>
      </c>
      <c r="H40" s="99"/>
      <c r="I40" s="100">
        <f>F40+G40+H40</f>
        <v>0</v>
      </c>
      <c r="J40" s="101">
        <f>IF(CenaCelkemVypocet=0,"",I40/CenaCelkemVypocet*100)</f>
      </c>
    </row>
    <row r="41" spans="1:10" ht="25.5" customHeight="1" hidden="1">
      <c r="A41" s="85">
        <v>2</v>
      </c>
      <c r="B41" s="102"/>
      <c r="C41" s="390" t="s">
        <v>48</v>
      </c>
      <c r="D41" s="390"/>
      <c r="E41" s="390"/>
      <c r="F41" s="103"/>
      <c r="G41" s="104"/>
      <c r="H41" s="104"/>
      <c r="I41" s="105"/>
      <c r="J41" s="106"/>
    </row>
    <row r="42" spans="1:10" ht="25.5" customHeight="1" hidden="1">
      <c r="A42" s="85">
        <v>2</v>
      </c>
      <c r="B42" s="102" t="s">
        <v>43</v>
      </c>
      <c r="C42" s="390" t="s">
        <v>44</v>
      </c>
      <c r="D42" s="390"/>
      <c r="E42" s="390"/>
      <c r="F42" s="103">
        <f>'etapa 1'!AE195</f>
        <v>0</v>
      </c>
      <c r="G42" s="104">
        <f>'etapa 1'!AF195</f>
        <v>0</v>
      </c>
      <c r="H42" s="104"/>
      <c r="I42" s="105">
        <f>F42+G42+H42</f>
        <v>0</v>
      </c>
      <c r="J42" s="106">
        <f>IF(CenaCelkemVypocet=0,"",I42/CenaCelkemVypocet*100)</f>
      </c>
    </row>
    <row r="43" spans="1:10" ht="25.5" customHeight="1" hidden="1">
      <c r="A43" s="85">
        <v>3</v>
      </c>
      <c r="B43" s="107" t="s">
        <v>41</v>
      </c>
      <c r="C43" s="389" t="s">
        <v>42</v>
      </c>
      <c r="D43" s="389"/>
      <c r="E43" s="389"/>
      <c r="F43" s="108">
        <f>'etapa 1'!AE195</f>
        <v>0</v>
      </c>
      <c r="G43" s="99">
        <f>'etapa 1'!AF195</f>
        <v>0</v>
      </c>
      <c r="H43" s="99"/>
      <c r="I43" s="100">
        <f>F43+G43+H43</f>
        <v>0</v>
      </c>
      <c r="J43" s="101">
        <f>IF(CenaCelkemVypocet=0,"",I43/CenaCelkemVypocet*100)</f>
      </c>
    </row>
    <row r="44" spans="1:10" ht="25.5" customHeight="1" hidden="1">
      <c r="A44" s="85"/>
      <c r="B44" s="391" t="s">
        <v>49</v>
      </c>
      <c r="C44" s="392"/>
      <c r="D44" s="392"/>
      <c r="E44" s="392"/>
      <c r="F44" s="109">
        <f>SUMIF(A40:A43,"=1",F40:F43)</f>
        <v>0</v>
      </c>
      <c r="G44" s="110">
        <f>SUMIF(A40:A43,"=1",G40:G43)</f>
        <v>0</v>
      </c>
      <c r="H44" s="110">
        <f>SUMIF(A40:A43,"=1",H40:H43)</f>
        <v>0</v>
      </c>
      <c r="I44" s="111">
        <f>SUMIF(A40:A43,"=1",I40:I43)</f>
        <v>0</v>
      </c>
      <c r="J44" s="112">
        <f>SUMIF(A40:A43,"=1",J40:J43)</f>
        <v>0</v>
      </c>
    </row>
    <row r="46" spans="3:5" s="261" customFormat="1" ht="12.75">
      <c r="C46" s="51"/>
      <c r="D46" s="51"/>
      <c r="E46" s="51"/>
    </row>
    <row r="47" spans="3:5" s="261" customFormat="1" ht="12.75">
      <c r="C47" s="51"/>
      <c r="D47" s="51"/>
      <c r="E47" s="51"/>
    </row>
    <row r="48" spans="2:10" ht="24" customHeight="1">
      <c r="B48" s="379" t="s">
        <v>322</v>
      </c>
      <c r="C48" s="379"/>
      <c r="D48" s="379"/>
      <c r="E48" s="379"/>
      <c r="F48" s="379"/>
      <c r="G48" s="379"/>
      <c r="H48" s="379"/>
      <c r="I48" s="379"/>
      <c r="J48" s="379"/>
    </row>
    <row r="49" spans="2:10" s="261" customFormat="1" ht="3.75" customHeight="1">
      <c r="B49" s="366"/>
      <c r="C49" s="367"/>
      <c r="D49" s="367"/>
      <c r="E49" s="367"/>
      <c r="F49" s="368"/>
      <c r="G49" s="368"/>
      <c r="H49" s="368"/>
      <c r="I49" s="368"/>
      <c r="J49" s="368"/>
    </row>
    <row r="50" spans="2:11" s="211" customFormat="1" ht="15.75" customHeight="1">
      <c r="B50" s="383" t="s">
        <v>5</v>
      </c>
      <c r="C50" s="384"/>
      <c r="D50" s="384"/>
      <c r="E50" s="384"/>
      <c r="F50" s="384"/>
      <c r="G50" s="385"/>
      <c r="H50" s="225"/>
      <c r="I50" s="225" t="s">
        <v>28</v>
      </c>
      <c r="J50" s="225" t="s">
        <v>0</v>
      </c>
      <c r="K50" s="227"/>
    </row>
    <row r="51" spans="2:11" s="211" customFormat="1" ht="18" customHeight="1">
      <c r="B51" s="386" t="s">
        <v>314</v>
      </c>
      <c r="C51" s="387"/>
      <c r="D51" s="387"/>
      <c r="E51" s="387"/>
      <c r="F51" s="387"/>
      <c r="G51" s="388"/>
      <c r="H51" s="226"/>
      <c r="I51" s="229">
        <f>I91</f>
        <v>0</v>
      </c>
      <c r="J51" s="301">
        <f>IF(I53=0,"",I51/I53*100)</f>
      </c>
      <c r="K51" s="228"/>
    </row>
    <row r="52" spans="2:11" s="261" customFormat="1" ht="18" customHeight="1">
      <c r="B52" s="386" t="s">
        <v>315</v>
      </c>
      <c r="C52" s="387"/>
      <c r="D52" s="387"/>
      <c r="E52" s="387"/>
      <c r="F52" s="387"/>
      <c r="G52" s="388"/>
      <c r="H52" s="264"/>
      <c r="I52" s="229">
        <f>'etapa 2'!G136</f>
        <v>0</v>
      </c>
      <c r="J52" s="301">
        <f>IF(I53=0,"",I52/I53*100)</f>
      </c>
      <c r="K52" s="228"/>
    </row>
    <row r="53" spans="2:11" s="211" customFormat="1" ht="14.25" customHeight="1">
      <c r="B53" s="376" t="s">
        <v>186</v>
      </c>
      <c r="C53" s="377"/>
      <c r="D53" s="377"/>
      <c r="E53" s="377"/>
      <c r="F53" s="377"/>
      <c r="G53" s="378"/>
      <c r="H53" s="128"/>
      <c r="I53" s="230">
        <f>I51+I52</f>
        <v>0</v>
      </c>
      <c r="J53" s="231">
        <v>100</v>
      </c>
      <c r="K53" s="228"/>
    </row>
    <row r="54" spans="3:5" s="211" customFormat="1" ht="12.75">
      <c r="C54" s="51"/>
      <c r="D54" s="51"/>
      <c r="E54" s="51"/>
    </row>
    <row r="55" spans="2:10" s="261" customFormat="1" ht="28.5" customHeight="1">
      <c r="B55" s="395" t="s">
        <v>318</v>
      </c>
      <c r="C55" s="396"/>
      <c r="D55" s="396"/>
      <c r="E55" s="396"/>
      <c r="F55" s="396"/>
      <c r="G55" s="396"/>
      <c r="H55" s="396"/>
      <c r="I55" s="396"/>
      <c r="J55" s="397"/>
    </row>
    <row r="56" spans="3:5" s="261" customFormat="1" ht="5.25" customHeight="1">
      <c r="C56" s="51"/>
      <c r="D56" s="51"/>
      <c r="E56" s="51"/>
    </row>
    <row r="57" spans="2:5" s="261" customFormat="1" ht="15.75">
      <c r="B57" s="121" t="s">
        <v>316</v>
      </c>
      <c r="C57" s="51"/>
      <c r="D57" s="51"/>
      <c r="E57" s="51"/>
    </row>
    <row r="58" spans="2:10" s="261" customFormat="1" ht="14.25" customHeight="1">
      <c r="B58" s="383" t="s">
        <v>5</v>
      </c>
      <c r="C58" s="384"/>
      <c r="D58" s="384"/>
      <c r="E58" s="384"/>
      <c r="F58" s="384"/>
      <c r="G58" s="385"/>
      <c r="H58" s="225"/>
      <c r="I58" s="225" t="s">
        <v>28</v>
      </c>
      <c r="J58" s="225" t="s">
        <v>0</v>
      </c>
    </row>
    <row r="59" spans="2:12" s="261" customFormat="1" ht="18" customHeight="1">
      <c r="B59" s="386" t="s">
        <v>314</v>
      </c>
      <c r="C59" s="387"/>
      <c r="D59" s="387"/>
      <c r="E59" s="387"/>
      <c r="F59" s="387"/>
      <c r="G59" s="388"/>
      <c r="H59" s="264"/>
      <c r="I59" s="229">
        <f>I51-I65</f>
        <v>0</v>
      </c>
      <c r="J59" s="301">
        <f>IF(I61=0,"",I59/I61*100)</f>
      </c>
      <c r="L59" s="263"/>
    </row>
    <row r="60" spans="2:10" s="261" customFormat="1" ht="18" customHeight="1">
      <c r="B60" s="386" t="s">
        <v>315</v>
      </c>
      <c r="C60" s="387"/>
      <c r="D60" s="387"/>
      <c r="E60" s="387"/>
      <c r="F60" s="387"/>
      <c r="G60" s="388"/>
      <c r="H60" s="264"/>
      <c r="I60" s="229">
        <f>I52-I66</f>
        <v>0</v>
      </c>
      <c r="J60" s="301">
        <f>IF(I61=0,"",I60/I61*100)</f>
      </c>
    </row>
    <row r="61" spans="2:10" s="261" customFormat="1" ht="14.25" customHeight="1">
      <c r="B61" s="376" t="s">
        <v>186</v>
      </c>
      <c r="C61" s="377"/>
      <c r="D61" s="377"/>
      <c r="E61" s="377"/>
      <c r="F61" s="377"/>
      <c r="G61" s="378"/>
      <c r="H61" s="128"/>
      <c r="I61" s="230">
        <f>I59+I60</f>
        <v>0</v>
      </c>
      <c r="J61" s="231">
        <v>100</v>
      </c>
    </row>
    <row r="62" spans="3:5" s="261" customFormat="1" ht="12.75">
      <c r="C62" s="51"/>
      <c r="D62" s="51"/>
      <c r="E62" s="51"/>
    </row>
    <row r="63" spans="2:10" s="261" customFormat="1" ht="18" customHeight="1">
      <c r="B63" s="363" t="s">
        <v>317</v>
      </c>
      <c r="C63" s="364"/>
      <c r="D63" s="364"/>
      <c r="E63" s="364"/>
      <c r="F63" s="365"/>
      <c r="G63" s="365"/>
      <c r="H63" s="365"/>
      <c r="I63" s="365"/>
      <c r="J63" s="365"/>
    </row>
    <row r="64" spans="2:10" s="261" customFormat="1" ht="14.25" customHeight="1">
      <c r="B64" s="383" t="s">
        <v>5</v>
      </c>
      <c r="C64" s="384"/>
      <c r="D64" s="384"/>
      <c r="E64" s="384"/>
      <c r="F64" s="384"/>
      <c r="G64" s="385"/>
      <c r="H64" s="225"/>
      <c r="I64" s="225" t="s">
        <v>28</v>
      </c>
      <c r="J64" s="225" t="s">
        <v>0</v>
      </c>
    </row>
    <row r="65" spans="2:10" s="261" customFormat="1" ht="18" customHeight="1">
      <c r="B65" s="380" t="s">
        <v>314</v>
      </c>
      <c r="C65" s="381"/>
      <c r="D65" s="381"/>
      <c r="E65" s="381"/>
      <c r="F65" s="381"/>
      <c r="G65" s="382"/>
      <c r="H65" s="357"/>
      <c r="I65" s="358">
        <f>I76+I79+I85+I88+I90</f>
        <v>0</v>
      </c>
      <c r="J65" s="359">
        <f>IF(I67=0,"",I65/I67*100)</f>
      </c>
    </row>
    <row r="66" spans="2:10" s="261" customFormat="1" ht="18" customHeight="1">
      <c r="B66" s="380" t="s">
        <v>315</v>
      </c>
      <c r="C66" s="381"/>
      <c r="D66" s="381"/>
      <c r="E66" s="381"/>
      <c r="F66" s="381"/>
      <c r="G66" s="382"/>
      <c r="H66" s="357"/>
      <c r="I66" s="358">
        <f>I97+I105+I107</f>
        <v>0</v>
      </c>
      <c r="J66" s="359">
        <f>IF(I67=0,"",I66/I67*100)</f>
      </c>
    </row>
    <row r="67" spans="2:10" s="261" customFormat="1" ht="14.25" customHeight="1">
      <c r="B67" s="376" t="s">
        <v>186</v>
      </c>
      <c r="C67" s="377"/>
      <c r="D67" s="377"/>
      <c r="E67" s="377"/>
      <c r="F67" s="377"/>
      <c r="G67" s="378"/>
      <c r="H67" s="128"/>
      <c r="I67" s="230">
        <f>I65+I66</f>
        <v>0</v>
      </c>
      <c r="J67" s="231">
        <v>100</v>
      </c>
    </row>
    <row r="68" spans="3:5" s="261" customFormat="1" ht="12.75">
      <c r="C68" s="51"/>
      <c r="D68" s="51"/>
      <c r="E68" s="51"/>
    </row>
    <row r="69" spans="3:5" s="211" customFormat="1" ht="12.75">
      <c r="C69" s="51"/>
      <c r="D69" s="51"/>
      <c r="E69" s="51"/>
    </row>
    <row r="70" spans="2:10" s="211" customFormat="1" ht="24" customHeight="1">
      <c r="B70" s="379" t="s">
        <v>320</v>
      </c>
      <c r="C70" s="379"/>
      <c r="D70" s="379"/>
      <c r="E70" s="379"/>
      <c r="F70" s="379"/>
      <c r="G70" s="379"/>
      <c r="H70" s="379"/>
      <c r="I70" s="379"/>
      <c r="J70" s="379"/>
    </row>
    <row r="71" spans="3:5" s="211" customFormat="1" ht="4.5" customHeight="1">
      <c r="C71" s="51"/>
      <c r="D71" s="51"/>
      <c r="E71" s="51"/>
    </row>
    <row r="72" spans="2:10" s="261" customFormat="1" ht="15" customHeight="1">
      <c r="B72" s="369" t="s">
        <v>319</v>
      </c>
      <c r="C72" s="360"/>
      <c r="D72" s="360"/>
      <c r="E72" s="360"/>
      <c r="F72" s="361"/>
      <c r="G72" s="361"/>
      <c r="H72" s="361"/>
      <c r="I72" s="361"/>
      <c r="J72" s="362"/>
    </row>
    <row r="73" spans="3:5" s="261" customFormat="1" ht="4.5" customHeight="1">
      <c r="C73" s="51"/>
      <c r="D73" s="51"/>
      <c r="E73" s="51"/>
    </row>
    <row r="74" spans="2:10" s="211" customFormat="1" ht="20.25" customHeight="1">
      <c r="B74" s="123" t="s">
        <v>17</v>
      </c>
      <c r="C74" s="123" t="s">
        <v>5</v>
      </c>
      <c r="D74" s="124"/>
      <c r="E74" s="124"/>
      <c r="F74" s="125" t="s">
        <v>51</v>
      </c>
      <c r="G74" s="125"/>
      <c r="H74" s="125"/>
      <c r="I74" s="125" t="s">
        <v>28</v>
      </c>
      <c r="J74" s="125" t="s">
        <v>0</v>
      </c>
    </row>
    <row r="75" spans="2:10" s="211" customFormat="1" ht="12.75">
      <c r="B75" s="126" t="s">
        <v>52</v>
      </c>
      <c r="C75" s="372" t="s">
        <v>53</v>
      </c>
      <c r="D75" s="373"/>
      <c r="E75" s="373"/>
      <c r="F75" s="130" t="s">
        <v>23</v>
      </c>
      <c r="G75" s="127"/>
      <c r="H75" s="127"/>
      <c r="I75" s="127">
        <f>'etapa 1'!G8-I76</f>
        <v>0</v>
      </c>
      <c r="J75" s="129">
        <f>IF(I91=0,"",I75/I91*100)</f>
      </c>
    </row>
    <row r="76" spans="2:10" s="261" customFormat="1" ht="12.75">
      <c r="B76" s="351" t="s">
        <v>52</v>
      </c>
      <c r="C76" s="374" t="s">
        <v>53</v>
      </c>
      <c r="D76" s="375"/>
      <c r="E76" s="375"/>
      <c r="F76" s="352" t="s">
        <v>23</v>
      </c>
      <c r="G76" s="353"/>
      <c r="H76" s="353"/>
      <c r="I76" s="353">
        <f>'etapa 1'!G39+'etapa 1'!G42</f>
        <v>0</v>
      </c>
      <c r="J76" s="354">
        <f>IF(I91=0,"",I76/I91*100)</f>
      </c>
    </row>
    <row r="77" spans="2:10" s="261" customFormat="1" ht="12.75">
      <c r="B77" s="126" t="s">
        <v>207</v>
      </c>
      <c r="C77" s="372" t="s">
        <v>208</v>
      </c>
      <c r="D77" s="373"/>
      <c r="E77" s="373"/>
      <c r="F77" s="130" t="s">
        <v>23</v>
      </c>
      <c r="G77" s="127"/>
      <c r="H77" s="127"/>
      <c r="I77" s="127">
        <f>'etapa 1'!G49</f>
        <v>0</v>
      </c>
      <c r="J77" s="129">
        <f>IF(I91=0,"",I77/I91*100)</f>
      </c>
    </row>
    <row r="78" spans="2:10" s="261" customFormat="1" ht="12.75">
      <c r="B78" s="126" t="s">
        <v>184</v>
      </c>
      <c r="C78" s="372" t="s">
        <v>185</v>
      </c>
      <c r="D78" s="373"/>
      <c r="E78" s="373"/>
      <c r="F78" s="130" t="s">
        <v>23</v>
      </c>
      <c r="G78" s="127"/>
      <c r="H78" s="127"/>
      <c r="I78" s="127">
        <f>'etapa 1'!G53-I79</f>
        <v>0</v>
      </c>
      <c r="J78" s="129">
        <f>IF(I91=0,"",I78/I91*100)</f>
      </c>
    </row>
    <row r="79" spans="2:10" s="261" customFormat="1" ht="12.75">
      <c r="B79" s="351" t="s">
        <v>184</v>
      </c>
      <c r="C79" s="374" t="s">
        <v>185</v>
      </c>
      <c r="D79" s="375"/>
      <c r="E79" s="375"/>
      <c r="F79" s="352" t="s">
        <v>23</v>
      </c>
      <c r="G79" s="353"/>
      <c r="H79" s="353"/>
      <c r="I79" s="353">
        <f>'etapa 1'!G54</f>
        <v>0</v>
      </c>
      <c r="J79" s="354">
        <f>IF(I91=0,"",I79/I91*100)</f>
      </c>
    </row>
    <row r="80" spans="2:10" s="211" customFormat="1" ht="12.75">
      <c r="B80" s="126" t="s">
        <v>54</v>
      </c>
      <c r="C80" s="372" t="s">
        <v>55</v>
      </c>
      <c r="D80" s="373"/>
      <c r="E80" s="373"/>
      <c r="F80" s="130" t="s">
        <v>23</v>
      </c>
      <c r="G80" s="127"/>
      <c r="H80" s="127"/>
      <c r="I80" s="127">
        <f>'etapa 1'!G62</f>
        <v>0</v>
      </c>
      <c r="J80" s="129">
        <f>IF(I91=0,"",I80/I91*100)</f>
      </c>
    </row>
    <row r="81" spans="2:10" s="261" customFormat="1" ht="12.75">
      <c r="B81" s="126" t="s">
        <v>221</v>
      </c>
      <c r="C81" s="372" t="s">
        <v>222</v>
      </c>
      <c r="D81" s="373"/>
      <c r="E81" s="373"/>
      <c r="F81" s="130" t="s">
        <v>23</v>
      </c>
      <c r="G81" s="127"/>
      <c r="H81" s="127"/>
      <c r="I81" s="127">
        <f>'etapa 1'!G87</f>
        <v>0</v>
      </c>
      <c r="J81" s="129">
        <f>IF(I91=0,"",I81/I91*100)</f>
      </c>
    </row>
    <row r="82" spans="2:10" s="211" customFormat="1" ht="12.75">
      <c r="B82" s="126" t="s">
        <v>56</v>
      </c>
      <c r="C82" s="372" t="s">
        <v>57</v>
      </c>
      <c r="D82" s="373"/>
      <c r="E82" s="373"/>
      <c r="F82" s="130" t="s">
        <v>23</v>
      </c>
      <c r="G82" s="127"/>
      <c r="H82" s="127"/>
      <c r="I82" s="127">
        <f>'etapa 1'!G105</f>
        <v>0</v>
      </c>
      <c r="J82" s="129">
        <f>IF(I91=0,"",I82/I91*100)</f>
      </c>
    </row>
    <row r="83" spans="2:10" s="211" customFormat="1" ht="22.5" customHeight="1">
      <c r="B83" s="126" t="s">
        <v>170</v>
      </c>
      <c r="C83" s="372" t="s">
        <v>171</v>
      </c>
      <c r="D83" s="373"/>
      <c r="E83" s="373"/>
      <c r="F83" s="130" t="s">
        <v>23</v>
      </c>
      <c r="G83" s="127"/>
      <c r="H83" s="127"/>
      <c r="I83" s="127">
        <f>'etapa 1'!G149</f>
        <v>0</v>
      </c>
      <c r="J83" s="129">
        <f>IF(I91=0,"",I83/I91*100)</f>
      </c>
    </row>
    <row r="84" spans="2:10" s="211" customFormat="1" ht="12.75">
      <c r="B84" s="126" t="s">
        <v>58</v>
      </c>
      <c r="C84" s="372" t="s">
        <v>59</v>
      </c>
      <c r="D84" s="373"/>
      <c r="E84" s="373"/>
      <c r="F84" s="130" t="s">
        <v>23</v>
      </c>
      <c r="G84" s="127"/>
      <c r="H84" s="127"/>
      <c r="I84" s="127">
        <f>'etapa 1'!G152</f>
        <v>0</v>
      </c>
      <c r="J84" s="129">
        <f>IF(I91=0,"",I84/I91*100)</f>
      </c>
    </row>
    <row r="85" spans="2:10" s="261" customFormat="1" ht="12.75">
      <c r="B85" s="355" t="s">
        <v>214</v>
      </c>
      <c r="C85" s="393" t="s">
        <v>215</v>
      </c>
      <c r="D85" s="394"/>
      <c r="E85" s="394"/>
      <c r="F85" s="356" t="s">
        <v>23</v>
      </c>
      <c r="G85" s="357"/>
      <c r="H85" s="357"/>
      <c r="I85" s="357">
        <f>'etapa 1'!G159</f>
        <v>0</v>
      </c>
      <c r="J85" s="354">
        <f>IF(I91=0,"",I85/I91*100)</f>
      </c>
    </row>
    <row r="86" spans="2:10" s="211" customFormat="1" ht="12.75">
      <c r="B86" s="126" t="s">
        <v>60</v>
      </c>
      <c r="C86" s="372" t="s">
        <v>61</v>
      </c>
      <c r="D86" s="373"/>
      <c r="E86" s="373"/>
      <c r="F86" s="130" t="s">
        <v>62</v>
      </c>
      <c r="G86" s="127"/>
      <c r="H86" s="127"/>
      <c r="I86" s="127">
        <f>'etapa 1'!G162</f>
        <v>0</v>
      </c>
      <c r="J86" s="129">
        <f>IF(I91=0,"",I86/I91*100)</f>
      </c>
    </row>
    <row r="87" spans="2:10" s="211" customFormat="1" ht="12.75">
      <c r="B87" s="126" t="s">
        <v>63</v>
      </c>
      <c r="C87" s="372" t="s">
        <v>26</v>
      </c>
      <c r="D87" s="373"/>
      <c r="E87" s="373"/>
      <c r="F87" s="130" t="s">
        <v>63</v>
      </c>
      <c r="G87" s="127"/>
      <c r="H87" s="127"/>
      <c r="I87" s="127">
        <f>'etapa 1'!G169-I88</f>
        <v>0</v>
      </c>
      <c r="J87" s="129">
        <f>IF(I91=0,"",I87/I91*100)</f>
      </c>
    </row>
    <row r="88" spans="2:10" s="261" customFormat="1" ht="12.75">
      <c r="B88" s="351" t="s">
        <v>63</v>
      </c>
      <c r="C88" s="374" t="s">
        <v>26</v>
      </c>
      <c r="D88" s="375"/>
      <c r="E88" s="375"/>
      <c r="F88" s="352" t="s">
        <v>63</v>
      </c>
      <c r="G88" s="353"/>
      <c r="H88" s="353"/>
      <c r="I88" s="353">
        <f>'etapa 1'!G172+'etapa 1'!G175</f>
        <v>0</v>
      </c>
      <c r="J88" s="354">
        <f>IF(I91=0,"",I88/I91*100)</f>
      </c>
    </row>
    <row r="89" spans="2:10" s="211" customFormat="1" ht="12.75">
      <c r="B89" s="126" t="s">
        <v>64</v>
      </c>
      <c r="C89" s="372" t="s">
        <v>27</v>
      </c>
      <c r="D89" s="373"/>
      <c r="E89" s="373"/>
      <c r="F89" s="130" t="s">
        <v>64</v>
      </c>
      <c r="G89" s="127"/>
      <c r="H89" s="127"/>
      <c r="I89" s="127">
        <f>'etapa 1'!G181-Stavba!I90</f>
        <v>0</v>
      </c>
      <c r="J89" s="129">
        <f>IF(I91=0,"",I89/I91*100)</f>
      </c>
    </row>
    <row r="90" spans="2:10" s="261" customFormat="1" ht="12.75">
      <c r="B90" s="351" t="s">
        <v>64</v>
      </c>
      <c r="C90" s="374" t="s">
        <v>27</v>
      </c>
      <c r="D90" s="375"/>
      <c r="E90" s="375"/>
      <c r="F90" s="352" t="s">
        <v>64</v>
      </c>
      <c r="G90" s="353"/>
      <c r="H90" s="353"/>
      <c r="I90" s="353">
        <f>'etapa 1'!G182</f>
        <v>0</v>
      </c>
      <c r="J90" s="354">
        <f>IF(I91=0,"",I90/I91*100)</f>
      </c>
    </row>
    <row r="91" spans="2:10" s="211" customFormat="1" ht="15" customHeight="1">
      <c r="B91" s="297" t="s">
        <v>1</v>
      </c>
      <c r="C91" s="298"/>
      <c r="D91" s="299"/>
      <c r="E91" s="299"/>
      <c r="F91" s="300"/>
      <c r="G91" s="230"/>
      <c r="H91" s="230"/>
      <c r="I91" s="230">
        <f>SUM(I75:I89)+I90</f>
        <v>0</v>
      </c>
      <c r="J91" s="231" t="e">
        <f>SUM(J75:J89)+J90</f>
        <v>#VALUE!</v>
      </c>
    </row>
    <row r="92" spans="3:5" s="211" customFormat="1" ht="12.75">
      <c r="C92" s="51"/>
      <c r="D92" s="51"/>
      <c r="E92" s="51"/>
    </row>
    <row r="93" spans="2:10" s="261" customFormat="1" ht="12.75">
      <c r="B93" s="369" t="s">
        <v>321</v>
      </c>
      <c r="C93" s="360"/>
      <c r="D93" s="360"/>
      <c r="E93" s="360"/>
      <c r="F93" s="361"/>
      <c r="G93" s="361"/>
      <c r="H93" s="361"/>
      <c r="I93" s="361"/>
      <c r="J93" s="362"/>
    </row>
    <row r="94" spans="3:5" s="261" customFormat="1" ht="3.75" customHeight="1">
      <c r="C94" s="51"/>
      <c r="D94" s="51"/>
      <c r="E94" s="51"/>
    </row>
    <row r="95" spans="2:10" s="261" customFormat="1" ht="12.75">
      <c r="B95" s="123" t="s">
        <v>17</v>
      </c>
      <c r="C95" s="123" t="s">
        <v>5</v>
      </c>
      <c r="D95" s="124"/>
      <c r="E95" s="124"/>
      <c r="F95" s="125" t="s">
        <v>51</v>
      </c>
      <c r="G95" s="125"/>
      <c r="H95" s="125"/>
      <c r="I95" s="125" t="s">
        <v>28</v>
      </c>
      <c r="J95" s="125" t="s">
        <v>0</v>
      </c>
    </row>
    <row r="96" spans="2:10" s="261" customFormat="1" ht="12.75">
      <c r="B96" s="126" t="s">
        <v>52</v>
      </c>
      <c r="C96" s="372" t="s">
        <v>53</v>
      </c>
      <c r="D96" s="373"/>
      <c r="E96" s="373"/>
      <c r="F96" s="130" t="s">
        <v>23</v>
      </c>
      <c r="G96" s="127"/>
      <c r="H96" s="127"/>
      <c r="I96" s="127">
        <f>'etapa 2'!G8-Stavba!I97</f>
        <v>0</v>
      </c>
      <c r="J96" s="129">
        <f>IF(I108=0,"",I96/I108*100)</f>
      </c>
    </row>
    <row r="97" spans="2:10" s="261" customFormat="1" ht="12.75">
      <c r="B97" s="351" t="s">
        <v>52</v>
      </c>
      <c r="C97" s="374" t="s">
        <v>53</v>
      </c>
      <c r="D97" s="375"/>
      <c r="E97" s="375"/>
      <c r="F97" s="352" t="s">
        <v>23</v>
      </c>
      <c r="G97" s="353"/>
      <c r="H97" s="353"/>
      <c r="I97" s="353">
        <f>'etapa 2'!G34+'etapa 2'!G37</f>
        <v>0</v>
      </c>
      <c r="J97" s="354">
        <f>IF(I108=0,"",I97/I108*100)</f>
      </c>
    </row>
    <row r="98" spans="2:10" s="261" customFormat="1" ht="12.75">
      <c r="B98" s="126" t="s">
        <v>54</v>
      </c>
      <c r="C98" s="372" t="s">
        <v>55</v>
      </c>
      <c r="D98" s="373"/>
      <c r="E98" s="373"/>
      <c r="F98" s="130" t="s">
        <v>23</v>
      </c>
      <c r="G98" s="127"/>
      <c r="H98" s="127"/>
      <c r="I98" s="127">
        <f>'etapa 2'!G44</f>
        <v>0</v>
      </c>
      <c r="J98" s="129">
        <f>IF(I108=0,"",I98/I108*100)</f>
      </c>
    </row>
    <row r="99" spans="2:10" s="261" customFormat="1" ht="12.75">
      <c r="B99" s="126" t="s">
        <v>221</v>
      </c>
      <c r="C99" s="372" t="s">
        <v>222</v>
      </c>
      <c r="D99" s="373"/>
      <c r="E99" s="373"/>
      <c r="F99" s="130" t="s">
        <v>23</v>
      </c>
      <c r="G99" s="127"/>
      <c r="H99" s="127"/>
      <c r="I99" s="127">
        <f>'etapa 2'!G60</f>
        <v>0</v>
      </c>
      <c r="J99" s="129">
        <f>IF(I108=0,"",I99/I108*100)</f>
      </c>
    </row>
    <row r="100" spans="2:10" s="261" customFormat="1" ht="12.75">
      <c r="B100" s="126" t="s">
        <v>56</v>
      </c>
      <c r="C100" s="372" t="s">
        <v>57</v>
      </c>
      <c r="D100" s="373"/>
      <c r="E100" s="373"/>
      <c r="F100" s="130" t="s">
        <v>23</v>
      </c>
      <c r="G100" s="127"/>
      <c r="H100" s="127"/>
      <c r="I100" s="127">
        <f>'etapa 2'!G75</f>
        <v>0</v>
      </c>
      <c r="J100" s="129">
        <f>IF(I108=0,"",I100/I108*100)</f>
      </c>
    </row>
    <row r="101" spans="2:10" s="261" customFormat="1" ht="23.25" customHeight="1">
      <c r="B101" s="126" t="s">
        <v>170</v>
      </c>
      <c r="C101" s="372" t="s">
        <v>171</v>
      </c>
      <c r="D101" s="373"/>
      <c r="E101" s="373"/>
      <c r="F101" s="130" t="s">
        <v>23</v>
      </c>
      <c r="G101" s="127"/>
      <c r="H101" s="127"/>
      <c r="I101" s="127">
        <f>'etapa 2'!G93</f>
        <v>0</v>
      </c>
      <c r="J101" s="129">
        <f>IF(I108=0,"",I101/I108*100)</f>
      </c>
    </row>
    <row r="102" spans="2:10" s="261" customFormat="1" ht="12.75">
      <c r="B102" s="126" t="s">
        <v>58</v>
      </c>
      <c r="C102" s="372" t="s">
        <v>59</v>
      </c>
      <c r="D102" s="373"/>
      <c r="E102" s="373"/>
      <c r="F102" s="130" t="s">
        <v>23</v>
      </c>
      <c r="G102" s="127"/>
      <c r="H102" s="127"/>
      <c r="I102" s="127">
        <f>'etapa 2'!G96</f>
        <v>0</v>
      </c>
      <c r="J102" s="129">
        <f>IF(I108=0,"",I102/I108*100)</f>
      </c>
    </row>
    <row r="103" spans="2:10" s="261" customFormat="1" ht="12.75">
      <c r="B103" s="126" t="s">
        <v>60</v>
      </c>
      <c r="C103" s="372" t="s">
        <v>61</v>
      </c>
      <c r="D103" s="373"/>
      <c r="E103" s="373"/>
      <c r="F103" s="130" t="s">
        <v>62</v>
      </c>
      <c r="G103" s="127"/>
      <c r="H103" s="127"/>
      <c r="I103" s="127">
        <f>'etapa 2'!G103</f>
        <v>0</v>
      </c>
      <c r="J103" s="129">
        <f>IF(I108=0,"",I103/I108*100)</f>
      </c>
    </row>
    <row r="104" spans="2:10" s="261" customFormat="1" ht="12.75">
      <c r="B104" s="126" t="s">
        <v>63</v>
      </c>
      <c r="C104" s="372" t="s">
        <v>26</v>
      </c>
      <c r="D104" s="373"/>
      <c r="E104" s="373"/>
      <c r="F104" s="130" t="s">
        <v>63</v>
      </c>
      <c r="G104" s="127"/>
      <c r="H104" s="127"/>
      <c r="I104" s="127">
        <f>'etapa 2'!G110-'etapa 2'!G113-'etapa 2'!G116</f>
        <v>0</v>
      </c>
      <c r="J104" s="129">
        <f>IF(I108=0,"",I104/I108*100)</f>
      </c>
    </row>
    <row r="105" spans="2:10" s="261" customFormat="1" ht="12.75">
      <c r="B105" s="351" t="s">
        <v>63</v>
      </c>
      <c r="C105" s="374" t="s">
        <v>26</v>
      </c>
      <c r="D105" s="375"/>
      <c r="E105" s="375"/>
      <c r="F105" s="352" t="s">
        <v>63</v>
      </c>
      <c r="G105" s="353"/>
      <c r="H105" s="353"/>
      <c r="I105" s="353">
        <f>'etapa 2'!G113+'etapa 2'!G116</f>
        <v>0</v>
      </c>
      <c r="J105" s="354">
        <f>IF(I108=0,"",I105/I108*100)</f>
      </c>
    </row>
    <row r="106" spans="2:10" s="261" customFormat="1" ht="12.75">
      <c r="B106" s="126" t="s">
        <v>64</v>
      </c>
      <c r="C106" s="372" t="s">
        <v>27</v>
      </c>
      <c r="D106" s="373"/>
      <c r="E106" s="373"/>
      <c r="F106" s="130" t="s">
        <v>64</v>
      </c>
      <c r="G106" s="127"/>
      <c r="H106" s="127"/>
      <c r="I106" s="127">
        <f>'etapa 2'!G123+'etapa 2'!G129</f>
        <v>0</v>
      </c>
      <c r="J106" s="129">
        <f>IF(I108=0,"",I106/I108*100)</f>
      </c>
    </row>
    <row r="107" spans="2:10" s="261" customFormat="1" ht="12.75">
      <c r="B107" s="351" t="s">
        <v>64</v>
      </c>
      <c r="C107" s="374" t="s">
        <v>27</v>
      </c>
      <c r="D107" s="375"/>
      <c r="E107" s="375"/>
      <c r="F107" s="352" t="s">
        <v>64</v>
      </c>
      <c r="G107" s="353"/>
      <c r="H107" s="353"/>
      <c r="I107" s="353">
        <f>'etapa 2'!G126+'etapa 2'!G132</f>
        <v>0</v>
      </c>
      <c r="J107" s="354">
        <f>IF(I108=0,"",I107/I108*100)</f>
      </c>
    </row>
    <row r="108" spans="2:10" s="261" customFormat="1" ht="12.75">
      <c r="B108" s="297" t="s">
        <v>1</v>
      </c>
      <c r="C108" s="298"/>
      <c r="D108" s="299"/>
      <c r="E108" s="299"/>
      <c r="F108" s="300"/>
      <c r="G108" s="230"/>
      <c r="H108" s="230"/>
      <c r="I108" s="230">
        <f>SUM(I96:I106)+I107</f>
        <v>0</v>
      </c>
      <c r="J108" s="231" t="e">
        <f>SUM(J96:J106)+J107</f>
        <v>#VALUE!</v>
      </c>
    </row>
    <row r="109" spans="3:5" s="261" customFormat="1" ht="12.75">
      <c r="C109" s="51"/>
      <c r="D109" s="51"/>
      <c r="E109" s="51"/>
    </row>
    <row r="110" spans="3:5" s="261" customFormat="1" ht="12.75">
      <c r="C110" s="51"/>
      <c r="D110" s="51"/>
      <c r="E110" s="51"/>
    </row>
  </sheetData>
  <sheetProtection sheet="1" objects="1" scenarios="1"/>
  <mergeCells count="91">
    <mergeCell ref="D12:G12"/>
    <mergeCell ref="E4:J4"/>
    <mergeCell ref="G16:H16"/>
    <mergeCell ref="G17:H17"/>
    <mergeCell ref="E16:F16"/>
    <mergeCell ref="E13:G13"/>
    <mergeCell ref="D5:G5"/>
    <mergeCell ref="D6:G6"/>
    <mergeCell ref="B1:J1"/>
    <mergeCell ref="G26:I26"/>
    <mergeCell ref="G28:I28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E17:F17"/>
    <mergeCell ref="G25:I25"/>
    <mergeCell ref="I19:J19"/>
    <mergeCell ref="G29:I29"/>
    <mergeCell ref="D35:E35"/>
    <mergeCell ref="G35:I35"/>
    <mergeCell ref="G27:I27"/>
    <mergeCell ref="G21:H21"/>
    <mergeCell ref="B55:J55"/>
    <mergeCell ref="B48:J48"/>
    <mergeCell ref="B61:G61"/>
    <mergeCell ref="B64:G64"/>
    <mergeCell ref="E7:G7"/>
    <mergeCell ref="C14:D14"/>
    <mergeCell ref="D36:E36"/>
    <mergeCell ref="G24:I24"/>
    <mergeCell ref="G23:I23"/>
    <mergeCell ref="E19:F19"/>
    <mergeCell ref="E20:F20"/>
    <mergeCell ref="I20:J20"/>
    <mergeCell ref="I21:J21"/>
    <mergeCell ref="G19:H19"/>
    <mergeCell ref="G20:H20"/>
    <mergeCell ref="G30:I30"/>
    <mergeCell ref="C40:E40"/>
    <mergeCell ref="C41:E41"/>
    <mergeCell ref="C42:E42"/>
    <mergeCell ref="C43:E43"/>
    <mergeCell ref="B44:E44"/>
    <mergeCell ref="B65:G65"/>
    <mergeCell ref="B50:G50"/>
    <mergeCell ref="B51:G51"/>
    <mergeCell ref="B53:G53"/>
    <mergeCell ref="C82:E82"/>
    <mergeCell ref="C77:E77"/>
    <mergeCell ref="C75:E75"/>
    <mergeCell ref="C80:E80"/>
    <mergeCell ref="C76:E76"/>
    <mergeCell ref="C79:E79"/>
    <mergeCell ref="B58:G58"/>
    <mergeCell ref="B59:G59"/>
    <mergeCell ref="B60:G60"/>
    <mergeCell ref="C78:E78"/>
    <mergeCell ref="C81:E81"/>
    <mergeCell ref="B52:G52"/>
    <mergeCell ref="C87:E87"/>
    <mergeCell ref="C89:E89"/>
    <mergeCell ref="C88:E88"/>
    <mergeCell ref="C90:E90"/>
    <mergeCell ref="B66:G66"/>
    <mergeCell ref="C85:E85"/>
    <mergeCell ref="B67:G67"/>
    <mergeCell ref="B70:J70"/>
    <mergeCell ref="C83:E83"/>
    <mergeCell ref="C84:E84"/>
    <mergeCell ref="C86:E86"/>
    <mergeCell ref="C98:E98"/>
    <mergeCell ref="C99:E99"/>
    <mergeCell ref="C100:E100"/>
    <mergeCell ref="C101:E101"/>
    <mergeCell ref="C96:E96"/>
    <mergeCell ref="C97:E97"/>
    <mergeCell ref="C106:E106"/>
    <mergeCell ref="C107:E107"/>
    <mergeCell ref="C102:E102"/>
    <mergeCell ref="C103:E103"/>
    <mergeCell ref="C104:E104"/>
    <mergeCell ref="C105:E105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441" t="s">
        <v>6</v>
      </c>
      <c r="B1" s="441"/>
      <c r="C1" s="442"/>
      <c r="D1" s="441"/>
      <c r="E1" s="441"/>
      <c r="F1" s="441"/>
      <c r="G1" s="441"/>
    </row>
    <row r="2" spans="1:7" ht="24.75" customHeight="1">
      <c r="A2" s="49" t="s">
        <v>7</v>
      </c>
      <c r="B2" s="48"/>
      <c r="C2" s="443"/>
      <c r="D2" s="443"/>
      <c r="E2" s="443"/>
      <c r="F2" s="443"/>
      <c r="G2" s="444"/>
    </row>
    <row r="3" spans="1:7" ht="24.75" customHeight="1">
      <c r="A3" s="49" t="s">
        <v>8</v>
      </c>
      <c r="B3" s="48"/>
      <c r="C3" s="443"/>
      <c r="D3" s="443"/>
      <c r="E3" s="443"/>
      <c r="F3" s="443"/>
      <c r="G3" s="444"/>
    </row>
    <row r="4" spans="1:7" ht="24.75" customHeight="1">
      <c r="A4" s="49" t="s">
        <v>9</v>
      </c>
      <c r="B4" s="48"/>
      <c r="C4" s="443"/>
      <c r="D4" s="443"/>
      <c r="E4" s="443"/>
      <c r="F4" s="443"/>
      <c r="G4" s="444"/>
    </row>
    <row r="5" spans="2:4" ht="12.75">
      <c r="B5" s="4"/>
      <c r="C5" s="5"/>
      <c r="D5" s="6"/>
    </row>
  </sheetData>
  <sheetProtection password="C71F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H50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122" customWidth="1"/>
    <col min="3" max="3" width="63.25390625" style="122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1" width="0" style="0" hidden="1" customWidth="1"/>
    <col min="12" max="12" width="11.75390625" style="0" bestFit="1" customWidth="1"/>
    <col min="13" max="13" width="11.75390625" style="0" customWidth="1"/>
    <col min="14" max="17" width="0" style="0" hidden="1" customWidth="1"/>
    <col min="18" max="18" width="6.875" style="0" customWidth="1"/>
    <col min="20" max="20" width="8.375" style="0" customWidth="1"/>
    <col min="21" max="24" width="0" style="0" hidden="1" customWidth="1"/>
    <col min="25" max="25" width="10.125" style="0" bestFit="1" customWidth="1"/>
    <col min="26" max="26" width="11.75390625" style="0" bestFit="1" customWidth="1"/>
    <col min="29" max="29" width="0" style="0" hidden="1" customWidth="1"/>
    <col min="31" max="41" width="0" style="0" hidden="1" customWidth="1"/>
    <col min="53" max="53" width="98.75390625" style="0" customWidth="1"/>
  </cols>
  <sheetData>
    <row r="1" spans="1:33" ht="15.75" customHeight="1">
      <c r="A1" s="454" t="s">
        <v>65</v>
      </c>
      <c r="B1" s="455"/>
      <c r="C1" s="455"/>
      <c r="D1" s="455"/>
      <c r="E1" s="455"/>
      <c r="F1" s="455"/>
      <c r="G1" s="455"/>
      <c r="H1" s="185"/>
      <c r="L1" s="189"/>
      <c r="AG1" t="s">
        <v>66</v>
      </c>
    </row>
    <row r="2" spans="1:33" ht="24.75" customHeight="1">
      <c r="A2" s="186" t="s">
        <v>7</v>
      </c>
      <c r="B2" s="223" t="s">
        <v>262</v>
      </c>
      <c r="C2" s="459" t="s">
        <v>263</v>
      </c>
      <c r="D2" s="460"/>
      <c r="E2" s="460"/>
      <c r="F2" s="460"/>
      <c r="G2" s="460"/>
      <c r="H2" s="461"/>
      <c r="L2" s="189"/>
      <c r="AG2" t="s">
        <v>67</v>
      </c>
    </row>
    <row r="3" spans="1:33" ht="24.75" customHeight="1">
      <c r="A3" s="186" t="s">
        <v>8</v>
      </c>
      <c r="B3" s="224" t="s">
        <v>43</v>
      </c>
      <c r="C3" s="456" t="s">
        <v>266</v>
      </c>
      <c r="D3" s="457"/>
      <c r="E3" s="457"/>
      <c r="F3" s="457"/>
      <c r="G3" s="458"/>
      <c r="H3" s="187"/>
      <c r="L3" s="189"/>
      <c r="AC3" s="122" t="s">
        <v>67</v>
      </c>
      <c r="AG3" t="s">
        <v>68</v>
      </c>
    </row>
    <row r="4" spans="1:33" ht="24.75" customHeight="1">
      <c r="A4" s="188" t="s">
        <v>9</v>
      </c>
      <c r="B4" s="179" t="s">
        <v>262</v>
      </c>
      <c r="C4" s="434" t="s">
        <v>265</v>
      </c>
      <c r="D4" s="435"/>
      <c r="E4" s="435"/>
      <c r="F4" s="435"/>
      <c r="G4" s="435"/>
      <c r="H4" s="436"/>
      <c r="L4" s="189"/>
      <c r="AG4" t="s">
        <v>69</v>
      </c>
    </row>
    <row r="5" ht="12.75">
      <c r="D5" s="10"/>
    </row>
    <row r="6" spans="1:24" ht="306">
      <c r="A6" s="133" t="s">
        <v>70</v>
      </c>
      <c r="B6" s="135" t="s">
        <v>71</v>
      </c>
      <c r="C6" s="135" t="s">
        <v>72</v>
      </c>
      <c r="D6" s="134" t="s">
        <v>73</v>
      </c>
      <c r="E6" s="133" t="s">
        <v>74</v>
      </c>
      <c r="F6" s="132" t="s">
        <v>75</v>
      </c>
      <c r="G6" s="133" t="s">
        <v>28</v>
      </c>
      <c r="H6" s="136" t="s">
        <v>29</v>
      </c>
      <c r="I6" s="136" t="s">
        <v>76</v>
      </c>
      <c r="J6" s="136" t="s">
        <v>30</v>
      </c>
      <c r="K6" s="136" t="s">
        <v>77</v>
      </c>
      <c r="L6" s="136" t="s">
        <v>78</v>
      </c>
      <c r="M6" s="136" t="s">
        <v>79</v>
      </c>
      <c r="N6" s="136" t="s">
        <v>80</v>
      </c>
      <c r="O6" s="136" t="s">
        <v>81</v>
      </c>
      <c r="P6" s="136" t="s">
        <v>82</v>
      </c>
      <c r="Q6" s="136" t="s">
        <v>83</v>
      </c>
      <c r="R6" s="136" t="s">
        <v>84</v>
      </c>
      <c r="S6" s="136" t="s">
        <v>85</v>
      </c>
      <c r="T6" s="136" t="s">
        <v>86</v>
      </c>
      <c r="U6" s="136" t="s">
        <v>87</v>
      </c>
      <c r="V6" s="136" t="s">
        <v>88</v>
      </c>
      <c r="W6" s="136" t="s">
        <v>89</v>
      </c>
      <c r="X6" s="136" t="s">
        <v>90</v>
      </c>
    </row>
    <row r="7" spans="1:24" ht="12.75" hidden="1">
      <c r="A7" s="3"/>
      <c r="B7" s="4"/>
      <c r="C7" s="4"/>
      <c r="D7" s="6"/>
      <c r="E7" s="138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</row>
    <row r="8" spans="1:33" ht="12.75">
      <c r="A8" s="148" t="s">
        <v>91</v>
      </c>
      <c r="B8" s="149" t="s">
        <v>52</v>
      </c>
      <c r="C8" s="164" t="s">
        <v>53</v>
      </c>
      <c r="D8" s="150"/>
      <c r="E8" s="151"/>
      <c r="F8" s="152"/>
      <c r="G8" s="152">
        <f>SUMIF(AG9:AG48,"&lt;&gt;NOR",G9:G48)</f>
        <v>0</v>
      </c>
      <c r="H8" s="152"/>
      <c r="I8" s="152">
        <f>SUM(I9:I48)</f>
        <v>102.48</v>
      </c>
      <c r="J8" s="152"/>
      <c r="K8" s="152">
        <f>SUM(K9:K48)</f>
        <v>286054.01</v>
      </c>
      <c r="L8" s="152"/>
      <c r="M8" s="152">
        <f>SUM(M9:M48)</f>
        <v>0</v>
      </c>
      <c r="N8" s="152"/>
      <c r="O8" s="152">
        <f>SUM(O9:O48)</f>
        <v>0</v>
      </c>
      <c r="P8" s="152"/>
      <c r="Q8" s="152">
        <f>SUM(Q9:Q48)</f>
        <v>28.52</v>
      </c>
      <c r="R8" s="152"/>
      <c r="S8" s="152"/>
      <c r="T8" s="153"/>
      <c r="U8" s="147"/>
      <c r="V8" s="147">
        <f>SUM(V9:V48)</f>
        <v>105.20999999999998</v>
      </c>
      <c r="W8" s="147"/>
      <c r="X8" s="147"/>
      <c r="Z8" s="84"/>
      <c r="AG8" t="s">
        <v>92</v>
      </c>
    </row>
    <row r="9" spans="1:60" ht="14.25" customHeight="1" outlineLevel="1">
      <c r="A9" s="154">
        <v>1</v>
      </c>
      <c r="B9" s="155" t="s">
        <v>191</v>
      </c>
      <c r="C9" s="165" t="s">
        <v>190</v>
      </c>
      <c r="D9" s="156" t="s">
        <v>114</v>
      </c>
      <c r="E9" s="286">
        <f>E11*0.3+19*1.5*0.25+6</f>
        <v>41.325</v>
      </c>
      <c r="F9" s="158"/>
      <c r="G9" s="159">
        <f>ROUND(E9*F9,2)</f>
        <v>0</v>
      </c>
      <c r="H9" s="158">
        <v>0</v>
      </c>
      <c r="I9" s="159">
        <f>ROUND(E9*H9,2)</f>
        <v>0</v>
      </c>
      <c r="J9" s="158">
        <v>351</v>
      </c>
      <c r="K9" s="159">
        <f>ROUND(E9*J9,2)</f>
        <v>14505.08</v>
      </c>
      <c r="L9" s="159">
        <v>21</v>
      </c>
      <c r="M9" s="159">
        <f>G9*(1+L9/100)</f>
        <v>0</v>
      </c>
      <c r="N9" s="159">
        <v>0</v>
      </c>
      <c r="O9" s="159">
        <f>ROUND(E9*N9,2)</f>
        <v>0</v>
      </c>
      <c r="P9" s="159">
        <v>0.44</v>
      </c>
      <c r="Q9" s="159">
        <f>ROUND(E9*P9,2)</f>
        <v>18.18</v>
      </c>
      <c r="R9" s="159" t="s">
        <v>108</v>
      </c>
      <c r="S9" s="221" t="s">
        <v>192</v>
      </c>
      <c r="T9" s="221" t="s">
        <v>192</v>
      </c>
      <c r="U9" s="146">
        <v>0.033</v>
      </c>
      <c r="V9" s="146">
        <f>ROUND(E9*U9,2)</f>
        <v>1.36</v>
      </c>
      <c r="W9" s="146"/>
      <c r="X9" s="146" t="s">
        <v>109</v>
      </c>
      <c r="Y9" s="137"/>
      <c r="Z9" s="137"/>
      <c r="AA9" s="137"/>
      <c r="AB9" s="137"/>
      <c r="AC9" s="137"/>
      <c r="AD9" s="137"/>
      <c r="AE9" s="137"/>
      <c r="AF9" s="137"/>
      <c r="AG9" s="137" t="s">
        <v>110</v>
      </c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</row>
    <row r="10" spans="1:60" ht="12.75" outlineLevel="1">
      <c r="A10" s="144"/>
      <c r="B10" s="145"/>
      <c r="C10" s="449"/>
      <c r="D10" s="450"/>
      <c r="E10" s="450"/>
      <c r="F10" s="450"/>
      <c r="G10" s="450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37"/>
      <c r="Z10" s="137"/>
      <c r="AA10" s="137"/>
      <c r="AB10" s="137"/>
      <c r="AC10" s="137"/>
      <c r="AD10" s="137"/>
      <c r="AE10" s="137"/>
      <c r="AF10" s="137"/>
      <c r="AG10" s="137" t="s">
        <v>93</v>
      </c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</row>
    <row r="11" spans="1:60" ht="22.5" outlineLevel="1">
      <c r="A11" s="154">
        <v>2</v>
      </c>
      <c r="B11" s="192" t="s">
        <v>202</v>
      </c>
      <c r="C11" s="165" t="s">
        <v>203</v>
      </c>
      <c r="D11" s="156" t="s">
        <v>97</v>
      </c>
      <c r="E11" s="286">
        <f>188*0.5</f>
        <v>94</v>
      </c>
      <c r="F11" s="158"/>
      <c r="G11" s="159">
        <f>ROUND(E11*F11,2)</f>
        <v>0</v>
      </c>
      <c r="H11" s="158">
        <v>0</v>
      </c>
      <c r="I11" s="159">
        <f>ROUND(E11*H11,2)</f>
        <v>0</v>
      </c>
      <c r="J11" s="158">
        <v>111</v>
      </c>
      <c r="K11" s="159">
        <f>ROUND(E11*J11,2)</f>
        <v>10434</v>
      </c>
      <c r="L11" s="159">
        <v>21</v>
      </c>
      <c r="M11" s="159">
        <f>G11*(1+L11/100)</f>
        <v>0</v>
      </c>
      <c r="N11" s="159">
        <v>0</v>
      </c>
      <c r="O11" s="159">
        <f>ROUND(E11*N11,2)</f>
        <v>0</v>
      </c>
      <c r="P11" s="159">
        <v>0.11</v>
      </c>
      <c r="Q11" s="159">
        <f>ROUND(E11*P11,2)</f>
        <v>10.34</v>
      </c>
      <c r="R11" s="159" t="s">
        <v>108</v>
      </c>
      <c r="S11" s="221" t="s">
        <v>192</v>
      </c>
      <c r="T11" s="221" t="s">
        <v>192</v>
      </c>
      <c r="U11" s="146">
        <v>0.2</v>
      </c>
      <c r="V11" s="146">
        <f>ROUND(E11*U11,2)</f>
        <v>18.8</v>
      </c>
      <c r="W11" s="146"/>
      <c r="X11" s="146" t="s">
        <v>109</v>
      </c>
      <c r="Y11" s="137"/>
      <c r="Z11" s="137"/>
      <c r="AA11" s="137"/>
      <c r="AB11" s="137"/>
      <c r="AC11" s="137"/>
      <c r="AD11" s="137"/>
      <c r="AE11" s="137"/>
      <c r="AF11" s="137"/>
      <c r="AG11" s="137" t="s">
        <v>110</v>
      </c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</row>
    <row r="12" spans="1:60" ht="12.75" outlineLevel="1">
      <c r="A12" s="144"/>
      <c r="B12" s="145"/>
      <c r="C12" s="449"/>
      <c r="D12" s="450"/>
      <c r="E12" s="450"/>
      <c r="F12" s="450"/>
      <c r="G12" s="450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37"/>
      <c r="Z12" s="137"/>
      <c r="AA12" s="137"/>
      <c r="AB12" s="137"/>
      <c r="AC12" s="137"/>
      <c r="AD12" s="137"/>
      <c r="AE12" s="137"/>
      <c r="AF12" s="137"/>
      <c r="AG12" s="137" t="s">
        <v>93</v>
      </c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</row>
    <row r="13" spans="1:60" ht="12.75" outlineLevel="1">
      <c r="A13" s="154">
        <v>3</v>
      </c>
      <c r="B13" s="155" t="s">
        <v>146</v>
      </c>
      <c r="C13" s="165" t="s">
        <v>201</v>
      </c>
      <c r="D13" s="156" t="s">
        <v>114</v>
      </c>
      <c r="E13" s="286">
        <v>76</v>
      </c>
      <c r="F13" s="158"/>
      <c r="G13" s="159">
        <f>ROUND(E13*F13,2)</f>
        <v>0</v>
      </c>
      <c r="H13" s="158">
        <v>0</v>
      </c>
      <c r="I13" s="159">
        <f>ROUND(E13*H13,2)</f>
        <v>0</v>
      </c>
      <c r="J13" s="158">
        <v>191.5</v>
      </c>
      <c r="K13" s="159">
        <f>ROUND(E13*J13,2)</f>
        <v>14554</v>
      </c>
      <c r="L13" s="159">
        <v>21</v>
      </c>
      <c r="M13" s="159">
        <f>G13*(1+L13/100)</f>
        <v>0</v>
      </c>
      <c r="N13" s="159">
        <v>0</v>
      </c>
      <c r="O13" s="159">
        <f>ROUND(E13*N13,2)</f>
        <v>0</v>
      </c>
      <c r="P13" s="159">
        <v>0</v>
      </c>
      <c r="Q13" s="159">
        <f>ROUND(E13*P13,2)</f>
        <v>0</v>
      </c>
      <c r="R13" s="159" t="s">
        <v>113</v>
      </c>
      <c r="S13" s="221" t="s">
        <v>192</v>
      </c>
      <c r="T13" s="221" t="s">
        <v>192</v>
      </c>
      <c r="U13" s="146">
        <v>0.368</v>
      </c>
      <c r="V13" s="146">
        <f>ROUND(E13*U13,2)</f>
        <v>27.97</v>
      </c>
      <c r="W13" s="146"/>
      <c r="X13" s="146" t="s">
        <v>109</v>
      </c>
      <c r="Y13" s="137"/>
      <c r="Z13" s="137"/>
      <c r="AA13" s="137"/>
      <c r="AB13" s="137"/>
      <c r="AC13" s="137"/>
      <c r="AD13" s="137"/>
      <c r="AE13" s="137"/>
      <c r="AF13" s="137"/>
      <c r="AG13" s="137" t="s">
        <v>110</v>
      </c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</row>
    <row r="14" spans="1:60" ht="12.75" outlineLevel="1">
      <c r="A14" s="144"/>
      <c r="B14" s="145"/>
      <c r="C14" s="447"/>
      <c r="D14" s="448"/>
      <c r="E14" s="448"/>
      <c r="F14" s="448"/>
      <c r="G14" s="448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37"/>
      <c r="Z14" s="137"/>
      <c r="AA14" s="137"/>
      <c r="AB14" s="137"/>
      <c r="AC14" s="137"/>
      <c r="AD14" s="137"/>
      <c r="AE14" s="137"/>
      <c r="AF14" s="137"/>
      <c r="AG14" s="137" t="s">
        <v>93</v>
      </c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</row>
    <row r="15" spans="1:60" ht="12.75" outlineLevel="1">
      <c r="A15" s="154">
        <v>4</v>
      </c>
      <c r="B15" s="155" t="s">
        <v>115</v>
      </c>
      <c r="C15" s="165" t="s">
        <v>225</v>
      </c>
      <c r="D15" s="156" t="s">
        <v>114</v>
      </c>
      <c r="E15" s="286">
        <f>E13*0.65</f>
        <v>49.4</v>
      </c>
      <c r="F15" s="158"/>
      <c r="G15" s="159">
        <f>ROUND(E15*F15,2)</f>
        <v>0</v>
      </c>
      <c r="H15" s="158">
        <v>0</v>
      </c>
      <c r="I15" s="159">
        <f>ROUND(E15*H15,2)</f>
        <v>0</v>
      </c>
      <c r="J15" s="158">
        <v>38.3</v>
      </c>
      <c r="K15" s="159">
        <f>ROUND(E15*J15,2)</f>
        <v>1892.02</v>
      </c>
      <c r="L15" s="159">
        <v>21</v>
      </c>
      <c r="M15" s="159">
        <f>G15*(1+L15/100)</f>
        <v>0</v>
      </c>
      <c r="N15" s="159">
        <v>0</v>
      </c>
      <c r="O15" s="159">
        <f>ROUND(E15*N15,2)</f>
        <v>0</v>
      </c>
      <c r="P15" s="159">
        <v>0</v>
      </c>
      <c r="Q15" s="159">
        <f>ROUND(E15*P15,2)</f>
        <v>0</v>
      </c>
      <c r="R15" s="159" t="s">
        <v>113</v>
      </c>
      <c r="S15" s="221" t="s">
        <v>192</v>
      </c>
      <c r="T15" s="221" t="s">
        <v>192</v>
      </c>
      <c r="U15" s="146">
        <v>0.058</v>
      </c>
      <c r="V15" s="146">
        <f>ROUND(E15*U15,2)</f>
        <v>2.87</v>
      </c>
      <c r="W15" s="146"/>
      <c r="X15" s="146" t="s">
        <v>109</v>
      </c>
      <c r="Y15" s="137"/>
      <c r="Z15" s="137"/>
      <c r="AA15" s="137"/>
      <c r="AB15" s="137"/>
      <c r="AC15" s="137"/>
      <c r="AD15" s="137"/>
      <c r="AE15" s="137"/>
      <c r="AF15" s="137"/>
      <c r="AG15" s="137" t="s">
        <v>110</v>
      </c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</row>
    <row r="16" spans="1:60" ht="12.75" outlineLevel="1">
      <c r="A16" s="144"/>
      <c r="B16" s="145"/>
      <c r="C16" s="447"/>
      <c r="D16" s="448"/>
      <c r="E16" s="448"/>
      <c r="F16" s="448"/>
      <c r="G16" s="448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37"/>
      <c r="Z16" s="137"/>
      <c r="AA16" s="137"/>
      <c r="AB16" s="137"/>
      <c r="AC16" s="137"/>
      <c r="AD16" s="137"/>
      <c r="AE16" s="137"/>
      <c r="AF16" s="137"/>
      <c r="AG16" s="137" t="s">
        <v>93</v>
      </c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</row>
    <row r="17" spans="1:60" s="261" customFormat="1" ht="12.75" outlineLevel="1">
      <c r="A17" s="277">
        <v>5</v>
      </c>
      <c r="B17" s="296" t="s">
        <v>227</v>
      </c>
      <c r="C17" s="285" t="s">
        <v>226</v>
      </c>
      <c r="D17" s="279" t="s">
        <v>114</v>
      </c>
      <c r="E17" s="286">
        <v>107</v>
      </c>
      <c r="F17" s="281"/>
      <c r="G17" s="282">
        <f>ROUND(E17*F17,2)</f>
        <v>0</v>
      </c>
      <c r="H17" s="281">
        <v>0</v>
      </c>
      <c r="I17" s="282">
        <f>ROUND(E17*H17,2)</f>
        <v>0</v>
      </c>
      <c r="J17" s="281">
        <v>191.5</v>
      </c>
      <c r="K17" s="282">
        <f>ROUND(E17*J17,2)</f>
        <v>20490.5</v>
      </c>
      <c r="L17" s="282">
        <v>21</v>
      </c>
      <c r="M17" s="282">
        <f>G17*(1+L17/100)</f>
        <v>0</v>
      </c>
      <c r="N17" s="282">
        <v>0</v>
      </c>
      <c r="O17" s="282">
        <f>ROUND(E17*N17,2)</f>
        <v>0</v>
      </c>
      <c r="P17" s="282">
        <v>0</v>
      </c>
      <c r="Q17" s="282">
        <f>ROUND(E17*P17,2)</f>
        <v>0</v>
      </c>
      <c r="R17" s="282" t="s">
        <v>113</v>
      </c>
      <c r="S17" s="282" t="s">
        <v>192</v>
      </c>
      <c r="T17" s="282" t="s">
        <v>192</v>
      </c>
      <c r="U17" s="269"/>
      <c r="V17" s="269"/>
      <c r="W17" s="269"/>
      <c r="X17" s="269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</row>
    <row r="18" spans="1:60" s="261" customFormat="1" ht="25.5" customHeight="1" outlineLevel="1">
      <c r="A18" s="267"/>
      <c r="B18" s="243"/>
      <c r="C18" s="445" t="s">
        <v>183</v>
      </c>
      <c r="D18" s="446"/>
      <c r="E18" s="446"/>
      <c r="F18" s="446"/>
      <c r="G18" s="446"/>
      <c r="H18" s="270"/>
      <c r="I18" s="269"/>
      <c r="J18" s="270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</row>
    <row r="19" spans="1:60" s="261" customFormat="1" ht="12.75" outlineLevel="1">
      <c r="A19" s="267"/>
      <c r="B19" s="268"/>
      <c r="C19" s="447"/>
      <c r="D19" s="448"/>
      <c r="E19" s="448"/>
      <c r="F19" s="448"/>
      <c r="G19" s="448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</row>
    <row r="20" spans="1:60" s="261" customFormat="1" ht="12.75" outlineLevel="1">
      <c r="A20" s="277">
        <v>6</v>
      </c>
      <c r="B20" s="278" t="s">
        <v>220</v>
      </c>
      <c r="C20" s="285" t="s">
        <v>219</v>
      </c>
      <c r="D20" s="279" t="s">
        <v>114</v>
      </c>
      <c r="E20" s="280">
        <f>E17*0.85</f>
        <v>90.95</v>
      </c>
      <c r="F20" s="281"/>
      <c r="G20" s="282">
        <f>ROUND(E20*F20,2)</f>
        <v>0</v>
      </c>
      <c r="H20" s="281">
        <v>0</v>
      </c>
      <c r="I20" s="282">
        <f>ROUND(E20*H20,2)</f>
        <v>0</v>
      </c>
      <c r="J20" s="281">
        <v>38.3</v>
      </c>
      <c r="K20" s="282">
        <f>ROUND(E20*J20,2)</f>
        <v>3483.39</v>
      </c>
      <c r="L20" s="282">
        <v>21</v>
      </c>
      <c r="M20" s="282">
        <f>G20*(1+L20/100)</f>
        <v>0</v>
      </c>
      <c r="N20" s="282">
        <v>0</v>
      </c>
      <c r="O20" s="282">
        <f>ROUND(E20*N20,2)</f>
        <v>0</v>
      </c>
      <c r="P20" s="282">
        <v>0</v>
      </c>
      <c r="Q20" s="282">
        <f>ROUND(E20*P20,2)</f>
        <v>0</v>
      </c>
      <c r="R20" s="282" t="s">
        <v>113</v>
      </c>
      <c r="S20" s="282" t="s">
        <v>192</v>
      </c>
      <c r="T20" s="282" t="s">
        <v>192</v>
      </c>
      <c r="U20" s="269"/>
      <c r="V20" s="269"/>
      <c r="W20" s="269"/>
      <c r="X20" s="269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</row>
    <row r="21" spans="1:60" s="261" customFormat="1" ht="12.75" outlineLevel="1">
      <c r="A21" s="267"/>
      <c r="B21" s="268"/>
      <c r="C21" s="447"/>
      <c r="D21" s="448"/>
      <c r="E21" s="448"/>
      <c r="F21" s="448"/>
      <c r="G21" s="448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</row>
    <row r="22" spans="1:60" ht="12.75" outlineLevel="1">
      <c r="A22" s="154">
        <v>7</v>
      </c>
      <c r="B22" s="155" t="s">
        <v>164</v>
      </c>
      <c r="C22" s="165" t="s">
        <v>165</v>
      </c>
      <c r="D22" s="156" t="s">
        <v>114</v>
      </c>
      <c r="E22" s="286">
        <v>10</v>
      </c>
      <c r="F22" s="158"/>
      <c r="G22" s="159">
        <f>ROUND(E22*F22,2)</f>
        <v>0</v>
      </c>
      <c r="H22" s="158">
        <v>0</v>
      </c>
      <c r="I22" s="159">
        <f>ROUND(E22*H22,2)</f>
        <v>0</v>
      </c>
      <c r="J22" s="158">
        <v>1273</v>
      </c>
      <c r="K22" s="159">
        <f>ROUND(E22*J22,2)</f>
        <v>12730</v>
      </c>
      <c r="L22" s="159">
        <v>21</v>
      </c>
      <c r="M22" s="159">
        <f>G22*(1+L22/100)</f>
        <v>0</v>
      </c>
      <c r="N22" s="159">
        <v>0</v>
      </c>
      <c r="O22" s="159">
        <f>ROUND(E22*N22,2)</f>
        <v>0</v>
      </c>
      <c r="P22" s="159">
        <v>0</v>
      </c>
      <c r="Q22" s="159">
        <f>ROUND(E22*P22,2)</f>
        <v>0</v>
      </c>
      <c r="R22" s="159" t="s">
        <v>113</v>
      </c>
      <c r="S22" s="221" t="s">
        <v>192</v>
      </c>
      <c r="T22" s="221" t="s">
        <v>192</v>
      </c>
      <c r="U22" s="146"/>
      <c r="V22" s="146"/>
      <c r="W22" s="146"/>
      <c r="X22" s="146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</row>
    <row r="23" spans="1:60" ht="12.75" outlineLevel="1">
      <c r="A23" s="144"/>
      <c r="B23" s="145"/>
      <c r="C23" s="445" t="s">
        <v>166</v>
      </c>
      <c r="D23" s="446"/>
      <c r="E23" s="446"/>
      <c r="F23" s="446"/>
      <c r="G23" s="4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</row>
    <row r="24" spans="1:60" ht="12.75" outlineLevel="1">
      <c r="A24" s="144"/>
      <c r="B24" s="145"/>
      <c r="C24" s="177"/>
      <c r="D24" s="178"/>
      <c r="E24" s="178"/>
      <c r="F24" s="178"/>
      <c r="G24" s="178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</row>
    <row r="25" spans="1:60" ht="22.5" outlineLevel="1">
      <c r="A25" s="277">
        <v>8</v>
      </c>
      <c r="B25" s="341" t="s">
        <v>116</v>
      </c>
      <c r="C25" s="309" t="s">
        <v>282</v>
      </c>
      <c r="D25" s="310" t="s">
        <v>114</v>
      </c>
      <c r="E25" s="311">
        <f>E13+E17+E22</f>
        <v>193</v>
      </c>
      <c r="F25" s="312"/>
      <c r="G25" s="313">
        <f>ROUND(E25*F25,2)</f>
        <v>0</v>
      </c>
      <c r="H25" s="312">
        <v>0</v>
      </c>
      <c r="I25" s="313">
        <f>ROUND(E25*H25,2)</f>
        <v>0</v>
      </c>
      <c r="J25" s="312">
        <v>259.5</v>
      </c>
      <c r="K25" s="313">
        <f>ROUND(E25*J25,2)</f>
        <v>50083.5</v>
      </c>
      <c r="L25" s="313">
        <v>21</v>
      </c>
      <c r="M25" s="313">
        <f>G25*(1+L25/100)</f>
        <v>0</v>
      </c>
      <c r="N25" s="313">
        <v>0</v>
      </c>
      <c r="O25" s="313">
        <f>ROUND(E25*N25,2)</f>
        <v>0</v>
      </c>
      <c r="P25" s="313">
        <v>0</v>
      </c>
      <c r="Q25" s="313">
        <f>ROUND(E25*P25,2)</f>
        <v>0</v>
      </c>
      <c r="R25" s="313" t="s">
        <v>113</v>
      </c>
      <c r="S25" s="282" t="s">
        <v>192</v>
      </c>
      <c r="T25" s="282" t="s">
        <v>192</v>
      </c>
      <c r="U25" s="146">
        <v>0.0052</v>
      </c>
      <c r="V25" s="146">
        <f>ROUND(E25*U25,2)</f>
        <v>1</v>
      </c>
      <c r="W25" s="146"/>
      <c r="X25" s="146" t="s">
        <v>109</v>
      </c>
      <c r="Y25" s="137"/>
      <c r="Z25" s="137"/>
      <c r="AA25" s="137"/>
      <c r="AB25" s="137"/>
      <c r="AC25" s="137"/>
      <c r="AD25" s="137"/>
      <c r="AE25" s="137"/>
      <c r="AF25" s="137"/>
      <c r="AG25" s="137" t="s">
        <v>110</v>
      </c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</row>
    <row r="26" spans="1:60" ht="12.75" customHeight="1" outlineLevel="1">
      <c r="A26" s="267"/>
      <c r="B26" s="268"/>
      <c r="C26" s="445" t="s">
        <v>117</v>
      </c>
      <c r="D26" s="446"/>
      <c r="E26" s="446"/>
      <c r="F26" s="446"/>
      <c r="G26" s="446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146"/>
      <c r="V26" s="146"/>
      <c r="W26" s="146"/>
      <c r="X26" s="146"/>
      <c r="Y26" s="137"/>
      <c r="Z26" s="137"/>
      <c r="AA26" s="137"/>
      <c r="AB26" s="137"/>
      <c r="AC26" s="137"/>
      <c r="AD26" s="137"/>
      <c r="AE26" s="137"/>
      <c r="AF26" s="137"/>
      <c r="AG26" s="137" t="s">
        <v>111</v>
      </c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</row>
    <row r="27" spans="1:60" ht="12.75" outlineLevel="1">
      <c r="A27" s="267"/>
      <c r="B27" s="268"/>
      <c r="C27" s="447"/>
      <c r="D27" s="448"/>
      <c r="E27" s="448"/>
      <c r="F27" s="448"/>
      <c r="G27" s="448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146"/>
      <c r="V27" s="146"/>
      <c r="W27" s="146"/>
      <c r="X27" s="146"/>
      <c r="Y27" s="137"/>
      <c r="Z27" s="137"/>
      <c r="AA27" s="137"/>
      <c r="AB27" s="137"/>
      <c r="AC27" s="137"/>
      <c r="AD27" s="137"/>
      <c r="AE27" s="137"/>
      <c r="AF27" s="137"/>
      <c r="AG27" s="137" t="s">
        <v>93</v>
      </c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</row>
    <row r="28" spans="1:60" s="261" customFormat="1" ht="22.5" outlineLevel="1">
      <c r="A28" s="277">
        <v>9</v>
      </c>
      <c r="B28" s="341" t="s">
        <v>283</v>
      </c>
      <c r="C28" s="309" t="s">
        <v>284</v>
      </c>
      <c r="D28" s="310" t="s">
        <v>114</v>
      </c>
      <c r="E28" s="311">
        <f>E25*8</f>
        <v>1544</v>
      </c>
      <c r="F28" s="312"/>
      <c r="G28" s="313">
        <f>ROUND(E28*F28,2)</f>
        <v>0</v>
      </c>
      <c r="H28" s="312">
        <v>0</v>
      </c>
      <c r="I28" s="313">
        <f>ROUND(E28*H28,2)</f>
        <v>0</v>
      </c>
      <c r="J28" s="312">
        <v>20.6</v>
      </c>
      <c r="K28" s="313">
        <f>ROUND(E28*J28,2)</f>
        <v>31806.4</v>
      </c>
      <c r="L28" s="313">
        <v>21</v>
      </c>
      <c r="M28" s="313">
        <f>G28*(1+L28/100)</f>
        <v>0</v>
      </c>
      <c r="N28" s="313">
        <v>0</v>
      </c>
      <c r="O28" s="313">
        <f>ROUND(E28*N28,2)</f>
        <v>0</v>
      </c>
      <c r="P28" s="313">
        <v>0</v>
      </c>
      <c r="Q28" s="313">
        <f>ROUND(E28*P28,2)</f>
        <v>0</v>
      </c>
      <c r="R28" s="313" t="s">
        <v>113</v>
      </c>
      <c r="S28" s="282" t="s">
        <v>192</v>
      </c>
      <c r="T28" s="282" t="s">
        <v>192</v>
      </c>
      <c r="U28" s="269"/>
      <c r="V28" s="269"/>
      <c r="W28" s="269"/>
      <c r="X28" s="269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</row>
    <row r="29" spans="1:60" s="261" customFormat="1" ht="12.75" customHeight="1" outlineLevel="1">
      <c r="A29" s="267"/>
      <c r="B29" s="268"/>
      <c r="C29" s="445" t="s">
        <v>117</v>
      </c>
      <c r="D29" s="446"/>
      <c r="E29" s="446"/>
      <c r="F29" s="446"/>
      <c r="G29" s="446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</row>
    <row r="30" spans="1:60" s="261" customFormat="1" ht="12.75" outlineLevel="1">
      <c r="A30" s="267"/>
      <c r="B30" s="268"/>
      <c r="C30" s="447"/>
      <c r="D30" s="448"/>
      <c r="E30" s="448"/>
      <c r="F30" s="448"/>
      <c r="G30" s="448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</row>
    <row r="31" spans="1:60" ht="12.75" outlineLevel="1">
      <c r="A31" s="154">
        <v>10</v>
      </c>
      <c r="B31" s="155" t="s">
        <v>118</v>
      </c>
      <c r="C31" s="165" t="s">
        <v>157</v>
      </c>
      <c r="D31" s="156" t="s">
        <v>114</v>
      </c>
      <c r="E31" s="157">
        <f>E13</f>
        <v>76</v>
      </c>
      <c r="F31" s="158"/>
      <c r="G31" s="159">
        <f>ROUND(E31*F31,2)</f>
        <v>0</v>
      </c>
      <c r="H31" s="158">
        <v>0</v>
      </c>
      <c r="I31" s="159">
        <f>ROUND(E31*H31,2)</f>
        <v>0</v>
      </c>
      <c r="J31" s="158">
        <v>265</v>
      </c>
      <c r="K31" s="159">
        <f>ROUND(E31*J31,2)</f>
        <v>20140</v>
      </c>
      <c r="L31" s="159">
        <v>21</v>
      </c>
      <c r="M31" s="159">
        <f>G31*(1+L31/100)</f>
        <v>0</v>
      </c>
      <c r="N31" s="159">
        <v>0</v>
      </c>
      <c r="O31" s="159">
        <f>ROUND(E31*N31,2)</f>
        <v>0</v>
      </c>
      <c r="P31" s="159">
        <v>0</v>
      </c>
      <c r="Q31" s="159">
        <f>ROUND(E31*P31,2)</f>
        <v>0</v>
      </c>
      <c r="R31" s="159" t="s">
        <v>113</v>
      </c>
      <c r="S31" s="221" t="s">
        <v>192</v>
      </c>
      <c r="T31" s="221" t="s">
        <v>192</v>
      </c>
      <c r="U31" s="146">
        <v>0.652</v>
      </c>
      <c r="V31" s="146">
        <f>ROUND(E31*U31,2)</f>
        <v>49.55</v>
      </c>
      <c r="W31" s="146"/>
      <c r="X31" s="146" t="s">
        <v>109</v>
      </c>
      <c r="Y31" s="137"/>
      <c r="Z31" s="137"/>
      <c r="AA31" s="137"/>
      <c r="AB31" s="137"/>
      <c r="AC31" s="137"/>
      <c r="AD31" s="137"/>
      <c r="AE31" s="137"/>
      <c r="AF31" s="137"/>
      <c r="AG31" s="137" t="s">
        <v>110</v>
      </c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</row>
    <row r="32" spans="1:60" ht="12.75" outlineLevel="1">
      <c r="A32" s="144"/>
      <c r="B32" s="145"/>
      <c r="C32" s="449"/>
      <c r="D32" s="450"/>
      <c r="E32" s="450"/>
      <c r="F32" s="450"/>
      <c r="G32" s="450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37"/>
      <c r="Z32" s="137"/>
      <c r="AA32" s="137"/>
      <c r="AB32" s="137"/>
      <c r="AC32" s="137"/>
      <c r="AD32" s="137"/>
      <c r="AE32" s="137"/>
      <c r="AF32" s="137"/>
      <c r="AG32" s="137" t="s">
        <v>93</v>
      </c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</row>
    <row r="33" spans="1:60" s="261" customFormat="1" ht="12.75" outlineLevel="1">
      <c r="A33" s="277">
        <v>11</v>
      </c>
      <c r="B33" s="278" t="s">
        <v>288</v>
      </c>
      <c r="C33" s="285" t="s">
        <v>289</v>
      </c>
      <c r="D33" s="279" t="s">
        <v>114</v>
      </c>
      <c r="E33" s="286">
        <v>6</v>
      </c>
      <c r="F33" s="281"/>
      <c r="G33" s="282">
        <f>E33*F33</f>
        <v>0</v>
      </c>
      <c r="H33" s="281">
        <v>0</v>
      </c>
      <c r="I33" s="282">
        <v>0</v>
      </c>
      <c r="J33" s="281">
        <v>282.5</v>
      </c>
      <c r="K33" s="282">
        <v>22882.5</v>
      </c>
      <c r="L33" s="282">
        <v>21</v>
      </c>
      <c r="M33" s="282">
        <f>G33*1.21</f>
        <v>0</v>
      </c>
      <c r="N33" s="282">
        <v>0</v>
      </c>
      <c r="O33" s="282">
        <v>0</v>
      </c>
      <c r="P33" s="282">
        <v>0</v>
      </c>
      <c r="Q33" s="282">
        <v>0</v>
      </c>
      <c r="R33" s="282" t="s">
        <v>113</v>
      </c>
      <c r="S33" s="282" t="s">
        <v>192</v>
      </c>
      <c r="T33" s="282" t="s">
        <v>192</v>
      </c>
      <c r="U33" s="269"/>
      <c r="V33" s="269"/>
      <c r="W33" s="269"/>
      <c r="X33" s="269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</row>
    <row r="34" spans="1:60" s="261" customFormat="1" ht="22.5" outlineLevel="1">
      <c r="A34" s="267"/>
      <c r="B34" s="268"/>
      <c r="C34" s="181" t="s">
        <v>290</v>
      </c>
      <c r="D34" s="182"/>
      <c r="E34" s="183"/>
      <c r="F34" s="290"/>
      <c r="G34" s="184"/>
      <c r="H34" s="270"/>
      <c r="I34" s="269"/>
      <c r="J34" s="270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</row>
    <row r="35" spans="1:60" s="261" customFormat="1" ht="12.75" outlineLevel="1">
      <c r="A35" s="267"/>
      <c r="B35" s="268"/>
      <c r="C35" s="319"/>
      <c r="D35" s="320"/>
      <c r="E35" s="320"/>
      <c r="F35" s="320"/>
      <c r="G35" s="320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</row>
    <row r="36" spans="1:60" s="261" customFormat="1" ht="12.75" outlineLevel="1">
      <c r="A36" s="277">
        <v>12</v>
      </c>
      <c r="B36" s="278" t="s">
        <v>182</v>
      </c>
      <c r="C36" s="285" t="s">
        <v>285</v>
      </c>
      <c r="D36" s="279" t="s">
        <v>114</v>
      </c>
      <c r="E36" s="286">
        <f>48</f>
        <v>48</v>
      </c>
      <c r="F36" s="281"/>
      <c r="G36" s="282">
        <f>E36*F36</f>
        <v>0</v>
      </c>
      <c r="H36" s="281">
        <v>0</v>
      </c>
      <c r="I36" s="282">
        <v>0</v>
      </c>
      <c r="J36" s="281">
        <v>282.5</v>
      </c>
      <c r="K36" s="282">
        <v>22882.5</v>
      </c>
      <c r="L36" s="282">
        <v>21</v>
      </c>
      <c r="M36" s="282">
        <f>G36*1.21</f>
        <v>0</v>
      </c>
      <c r="N36" s="282">
        <v>0</v>
      </c>
      <c r="O36" s="282">
        <v>0</v>
      </c>
      <c r="P36" s="282">
        <v>0</v>
      </c>
      <c r="Q36" s="282">
        <v>0</v>
      </c>
      <c r="R36" s="282" t="s">
        <v>113</v>
      </c>
      <c r="S36" s="282" t="s">
        <v>192</v>
      </c>
      <c r="T36" s="282" t="s">
        <v>192</v>
      </c>
      <c r="U36" s="269"/>
      <c r="V36" s="269"/>
      <c r="W36" s="269"/>
      <c r="X36" s="269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</row>
    <row r="37" spans="1:60" s="261" customFormat="1" ht="22.5" outlineLevel="1">
      <c r="A37" s="267"/>
      <c r="B37" s="268"/>
      <c r="C37" s="306" t="s">
        <v>286</v>
      </c>
      <c r="D37" s="307"/>
      <c r="E37" s="308"/>
      <c r="F37" s="349"/>
      <c r="G37" s="269"/>
      <c r="H37" s="270"/>
      <c r="I37" s="269"/>
      <c r="J37" s="270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</row>
    <row r="38" spans="1:60" s="261" customFormat="1" ht="12.75" outlineLevel="1">
      <c r="A38" s="267"/>
      <c r="B38" s="268"/>
      <c r="C38" s="319"/>
      <c r="D38" s="320"/>
      <c r="E38" s="320"/>
      <c r="F38" s="320"/>
      <c r="G38" s="320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</row>
    <row r="39" spans="1:60" ht="12.75" outlineLevel="1">
      <c r="A39" s="329">
        <v>13</v>
      </c>
      <c r="B39" s="330" t="s">
        <v>119</v>
      </c>
      <c r="C39" s="331" t="s">
        <v>154</v>
      </c>
      <c r="D39" s="332" t="s">
        <v>97</v>
      </c>
      <c r="E39" s="328">
        <v>61</v>
      </c>
      <c r="F39" s="158"/>
      <c r="G39" s="333">
        <f>ROUND(E39*F39,2)</f>
        <v>0</v>
      </c>
      <c r="H39" s="334">
        <v>1.68</v>
      </c>
      <c r="I39" s="333">
        <f>ROUND(E39*H39,2)</f>
        <v>102.48</v>
      </c>
      <c r="J39" s="334">
        <v>22.42</v>
      </c>
      <c r="K39" s="333">
        <f>ROUND(E39*J39,2)</f>
        <v>1367.62</v>
      </c>
      <c r="L39" s="333">
        <v>21</v>
      </c>
      <c r="M39" s="333">
        <f>G39*(1+L39/100)</f>
        <v>0</v>
      </c>
      <c r="N39" s="333">
        <v>0</v>
      </c>
      <c r="O39" s="333">
        <f>ROUND(E39*N39,2)</f>
        <v>0</v>
      </c>
      <c r="P39" s="333">
        <v>0</v>
      </c>
      <c r="Q39" s="333">
        <f>ROUND(E39*P39,2)</f>
        <v>0</v>
      </c>
      <c r="R39" s="333" t="s">
        <v>120</v>
      </c>
      <c r="S39" s="333" t="s">
        <v>192</v>
      </c>
      <c r="T39" s="333" t="s">
        <v>192</v>
      </c>
      <c r="U39" s="146">
        <v>0.06</v>
      </c>
      <c r="V39" s="146">
        <f>ROUND(E39*U39,2)</f>
        <v>3.66</v>
      </c>
      <c r="W39" s="146"/>
      <c r="X39" s="146" t="s">
        <v>109</v>
      </c>
      <c r="Y39" s="137"/>
      <c r="Z39" s="137"/>
      <c r="AA39" s="137"/>
      <c r="AB39" s="137"/>
      <c r="AC39" s="137"/>
      <c r="AD39" s="137"/>
      <c r="AE39" s="137"/>
      <c r="AF39" s="137"/>
      <c r="AG39" s="137" t="s">
        <v>110</v>
      </c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</row>
    <row r="40" spans="1:60" ht="12.75" outlineLevel="1">
      <c r="A40" s="144"/>
      <c r="B40" s="145"/>
      <c r="C40" s="445" t="s">
        <v>121</v>
      </c>
      <c r="D40" s="446"/>
      <c r="E40" s="446"/>
      <c r="F40" s="446"/>
      <c r="G40" s="4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37"/>
      <c r="Z40" s="137"/>
      <c r="AA40" s="137"/>
      <c r="AB40" s="137"/>
      <c r="AC40" s="137"/>
      <c r="AD40" s="137"/>
      <c r="AE40" s="137"/>
      <c r="AF40" s="137"/>
      <c r="AG40" s="137" t="s">
        <v>111</v>
      </c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</row>
    <row r="41" spans="1:60" ht="12.75" outlineLevel="1">
      <c r="A41" s="144"/>
      <c r="B41" s="145"/>
      <c r="C41" s="447"/>
      <c r="D41" s="448"/>
      <c r="E41" s="448"/>
      <c r="F41" s="448"/>
      <c r="G41" s="448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37"/>
      <c r="Z41" s="137"/>
      <c r="AA41" s="137"/>
      <c r="AB41" s="137"/>
      <c r="AC41" s="137"/>
      <c r="AD41" s="137"/>
      <c r="AE41" s="137"/>
      <c r="AF41" s="137"/>
      <c r="AG41" s="137" t="s">
        <v>93</v>
      </c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</row>
    <row r="42" spans="1:60" ht="12.75" outlineLevel="1">
      <c r="A42" s="329">
        <v>14</v>
      </c>
      <c r="B42" s="330" t="s">
        <v>177</v>
      </c>
      <c r="C42" s="331" t="s">
        <v>168</v>
      </c>
      <c r="D42" s="332" t="s">
        <v>97</v>
      </c>
      <c r="E42" s="328">
        <f>E39</f>
        <v>61</v>
      </c>
      <c r="F42" s="158"/>
      <c r="G42" s="333">
        <f>ROUND(E42*F42,2)</f>
        <v>0</v>
      </c>
      <c r="H42" s="334">
        <v>0</v>
      </c>
      <c r="I42" s="333">
        <f>ROUND(E42*H42,2)</f>
        <v>0</v>
      </c>
      <c r="J42" s="334">
        <v>17.4</v>
      </c>
      <c r="K42" s="333">
        <f>ROUND(E42*J42,2)</f>
        <v>1061.4</v>
      </c>
      <c r="L42" s="333">
        <v>21</v>
      </c>
      <c r="M42" s="333">
        <f>G42*(1+L42/100)</f>
        <v>0</v>
      </c>
      <c r="N42" s="333">
        <v>0</v>
      </c>
      <c r="O42" s="333">
        <f>ROUND(E42*N42,2)</f>
        <v>0</v>
      </c>
      <c r="P42" s="333">
        <v>0</v>
      </c>
      <c r="Q42" s="333">
        <f>ROUND(E42*P42,2)</f>
        <v>0</v>
      </c>
      <c r="R42" s="333" t="s">
        <v>167</v>
      </c>
      <c r="S42" s="333" t="s">
        <v>192</v>
      </c>
      <c r="T42" s="333" t="s">
        <v>192</v>
      </c>
      <c r="U42" s="146"/>
      <c r="V42" s="146"/>
      <c r="W42" s="146"/>
      <c r="X42" s="146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:60" ht="12.75" customHeight="1" outlineLevel="1">
      <c r="A43" s="144"/>
      <c r="B43" s="145"/>
      <c r="C43" s="445" t="s">
        <v>169</v>
      </c>
      <c r="D43" s="446"/>
      <c r="E43" s="446"/>
      <c r="F43" s="446"/>
      <c r="G43" s="446"/>
      <c r="H43" s="180"/>
      <c r="I43" s="146"/>
      <c r="J43" s="180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</row>
    <row r="44" spans="1:60" ht="12.75" outlineLevel="1">
      <c r="A44" s="144"/>
      <c r="B44" s="145"/>
      <c r="C44" s="177"/>
      <c r="D44" s="178"/>
      <c r="E44" s="178"/>
      <c r="F44" s="178"/>
      <c r="G44" s="178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</row>
    <row r="45" spans="1:60" ht="12.75" outlineLevel="1">
      <c r="A45" s="154">
        <v>15</v>
      </c>
      <c r="B45" s="155" t="s">
        <v>175</v>
      </c>
      <c r="C45" s="165" t="s">
        <v>176</v>
      </c>
      <c r="D45" s="156" t="s">
        <v>97</v>
      </c>
      <c r="E45" s="286">
        <v>242</v>
      </c>
      <c r="F45" s="158"/>
      <c r="G45" s="159">
        <f>ROUND(E45*F45,2)</f>
        <v>0</v>
      </c>
      <c r="H45" s="158">
        <v>0</v>
      </c>
      <c r="I45" s="159">
        <f>ROUND(E45*H45,2)</f>
        <v>0</v>
      </c>
      <c r="J45" s="158">
        <v>13.3</v>
      </c>
      <c r="K45" s="159">
        <f>ROUND(E45*J45,2)</f>
        <v>3218.6</v>
      </c>
      <c r="L45" s="159">
        <v>21</v>
      </c>
      <c r="M45" s="159">
        <f>G45*(1+L45/100)</f>
        <v>0</v>
      </c>
      <c r="N45" s="159">
        <v>0</v>
      </c>
      <c r="O45" s="159">
        <f>ROUND(E45*N45,2)</f>
        <v>0</v>
      </c>
      <c r="P45" s="159">
        <v>0</v>
      </c>
      <c r="Q45" s="159">
        <f>ROUND(E45*P45,2)</f>
        <v>0</v>
      </c>
      <c r="R45" s="159" t="s">
        <v>113</v>
      </c>
      <c r="S45" s="221" t="s">
        <v>192</v>
      </c>
      <c r="T45" s="221" t="s">
        <v>192</v>
      </c>
      <c r="U45" s="146"/>
      <c r="V45" s="146"/>
      <c r="W45" s="146"/>
      <c r="X45" s="146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</row>
    <row r="46" spans="1:60" s="261" customFormat="1" ht="12.75" outlineLevel="1">
      <c r="A46" s="267"/>
      <c r="B46" s="268"/>
      <c r="C46" s="302"/>
      <c r="D46" s="303"/>
      <c r="E46" s="303"/>
      <c r="F46" s="303"/>
      <c r="G46" s="303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</row>
    <row r="47" spans="1:60" ht="12.75" outlineLevel="1">
      <c r="A47" s="154">
        <v>16</v>
      </c>
      <c r="B47" s="155" t="s">
        <v>122</v>
      </c>
      <c r="C47" s="165" t="s">
        <v>123</v>
      </c>
      <c r="D47" s="156" t="s">
        <v>114</v>
      </c>
      <c r="E47" s="157">
        <f>E25</f>
        <v>193</v>
      </c>
      <c r="F47" s="158"/>
      <c r="G47" s="159">
        <f>ROUND(E47*F47,2)</f>
        <v>0</v>
      </c>
      <c r="H47" s="158">
        <v>0</v>
      </c>
      <c r="I47" s="159">
        <f>ROUND(E47*H47,2)</f>
        <v>0</v>
      </c>
      <c r="J47" s="158">
        <v>282.5</v>
      </c>
      <c r="K47" s="159">
        <f>ROUND(E47*J47,2)</f>
        <v>54522.5</v>
      </c>
      <c r="L47" s="159">
        <v>21</v>
      </c>
      <c r="M47" s="159">
        <f>G47*(1+L47/100)</f>
        <v>0</v>
      </c>
      <c r="N47" s="159">
        <v>0</v>
      </c>
      <c r="O47" s="159">
        <f>ROUND(E47*N47,2)</f>
        <v>0</v>
      </c>
      <c r="P47" s="159">
        <v>0</v>
      </c>
      <c r="Q47" s="159">
        <f>ROUND(E47*P47,2)</f>
        <v>0</v>
      </c>
      <c r="R47" s="159" t="s">
        <v>113</v>
      </c>
      <c r="S47" s="221" t="s">
        <v>192</v>
      </c>
      <c r="T47" s="221" t="s">
        <v>192</v>
      </c>
      <c r="U47" s="146">
        <v>0</v>
      </c>
      <c r="V47" s="146">
        <f>ROUND(E47*U47,2)</f>
        <v>0</v>
      </c>
      <c r="W47" s="146"/>
      <c r="X47" s="146" t="s">
        <v>109</v>
      </c>
      <c r="Y47" s="137"/>
      <c r="Z47" s="137"/>
      <c r="AA47" s="137"/>
      <c r="AB47" s="137"/>
      <c r="AC47" s="137"/>
      <c r="AD47" s="137"/>
      <c r="AE47" s="137"/>
      <c r="AF47" s="137"/>
      <c r="AG47" s="137" t="s">
        <v>110</v>
      </c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</row>
    <row r="48" spans="1:60" ht="12.75" outlineLevel="1">
      <c r="A48" s="144"/>
      <c r="B48" s="145"/>
      <c r="C48" s="449"/>
      <c r="D48" s="450"/>
      <c r="E48" s="450"/>
      <c r="F48" s="450"/>
      <c r="G48" s="450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37"/>
      <c r="Z48" s="137"/>
      <c r="AA48" s="137"/>
      <c r="AB48" s="137"/>
      <c r="AC48" s="137"/>
      <c r="AD48" s="137"/>
      <c r="AE48" s="137"/>
      <c r="AF48" s="137"/>
      <c r="AG48" s="137" t="s">
        <v>93</v>
      </c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</row>
    <row r="49" spans="1:60" s="261" customFormat="1" ht="12.75" outlineLevel="1">
      <c r="A49" s="271" t="s">
        <v>91</v>
      </c>
      <c r="B49" s="272" t="s">
        <v>207</v>
      </c>
      <c r="C49" s="284" t="s">
        <v>208</v>
      </c>
      <c r="D49" s="273"/>
      <c r="E49" s="274"/>
      <c r="F49" s="275"/>
      <c r="G49" s="275">
        <f>SUMIF(AG50:AG52,"&lt;&gt;NOR",G50:G52)</f>
        <v>0</v>
      </c>
      <c r="H49" s="275"/>
      <c r="I49" s="275">
        <f>SUM(I50:I52)</f>
        <v>42.79</v>
      </c>
      <c r="J49" s="275"/>
      <c r="K49" s="275">
        <f>SUM(K50:K52)</f>
        <v>95.45</v>
      </c>
      <c r="L49" s="275"/>
      <c r="M49" s="275">
        <f>SUM(M50:M52)</f>
        <v>0</v>
      </c>
      <c r="N49" s="275"/>
      <c r="O49" s="275">
        <f>SUM(O50:O52)</f>
        <v>0.03</v>
      </c>
      <c r="P49" s="275"/>
      <c r="Q49" s="275">
        <f>SUM(Q50:Q52)</f>
        <v>0</v>
      </c>
      <c r="R49" s="275"/>
      <c r="S49" s="275"/>
      <c r="T49" s="276"/>
      <c r="U49" s="269"/>
      <c r="V49" s="269"/>
      <c r="W49" s="269"/>
      <c r="X49" s="269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</row>
    <row r="50" spans="1:60" s="261" customFormat="1" ht="12.75" outlineLevel="1">
      <c r="A50" s="277">
        <v>17</v>
      </c>
      <c r="B50" s="278" t="s">
        <v>224</v>
      </c>
      <c r="C50" s="285" t="s">
        <v>291</v>
      </c>
      <c r="D50" s="279" t="s">
        <v>114</v>
      </c>
      <c r="E50" s="280">
        <f>0.1*0.4*3</f>
        <v>0.12000000000000002</v>
      </c>
      <c r="F50" s="281"/>
      <c r="G50" s="282">
        <f>ROUND(E50*F50,2)</f>
        <v>0</v>
      </c>
      <c r="H50" s="281">
        <v>356.55</v>
      </c>
      <c r="I50" s="282">
        <f>ROUND(E50*H50,2)</f>
        <v>42.79</v>
      </c>
      <c r="J50" s="281">
        <v>795.45</v>
      </c>
      <c r="K50" s="282">
        <f>ROUND(E50*J50,2)</f>
        <v>95.45</v>
      </c>
      <c r="L50" s="282">
        <v>21</v>
      </c>
      <c r="M50" s="282">
        <f>G50*(1+L50/100)</f>
        <v>0</v>
      </c>
      <c r="N50" s="282">
        <v>0.26487</v>
      </c>
      <c r="O50" s="282">
        <f>ROUND(E50*N50,2)</f>
        <v>0.03</v>
      </c>
      <c r="P50" s="282">
        <v>0</v>
      </c>
      <c r="Q50" s="282">
        <f>ROUND(E50*P50,2)</f>
        <v>0</v>
      </c>
      <c r="R50" s="282" t="s">
        <v>209</v>
      </c>
      <c r="S50" s="282" t="s">
        <v>192</v>
      </c>
      <c r="T50" s="283" t="s">
        <v>100</v>
      </c>
      <c r="U50" s="269"/>
      <c r="V50" s="269"/>
      <c r="W50" s="269"/>
      <c r="X50" s="269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</row>
    <row r="51" spans="1:60" s="261" customFormat="1" ht="12.75" outlineLevel="1">
      <c r="A51" s="267"/>
      <c r="B51" s="268"/>
      <c r="C51" s="451" t="s">
        <v>292</v>
      </c>
      <c r="D51" s="452"/>
      <c r="E51" s="452"/>
      <c r="F51" s="452"/>
      <c r="G51" s="452"/>
      <c r="H51" s="270"/>
      <c r="I51" s="269"/>
      <c r="J51" s="270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</row>
    <row r="52" spans="1:60" s="261" customFormat="1" ht="12.75" outlineLevel="1">
      <c r="A52" s="267"/>
      <c r="B52" s="268"/>
      <c r="C52" s="447"/>
      <c r="D52" s="448"/>
      <c r="E52" s="448"/>
      <c r="F52" s="448"/>
      <c r="G52" s="448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</row>
    <row r="53" spans="1:60" s="261" customFormat="1" ht="12.75" outlineLevel="1">
      <c r="A53" s="271" t="s">
        <v>91</v>
      </c>
      <c r="B53" s="272" t="s">
        <v>184</v>
      </c>
      <c r="C53" s="284" t="s">
        <v>185</v>
      </c>
      <c r="D53" s="273"/>
      <c r="E53" s="274"/>
      <c r="F53" s="275"/>
      <c r="G53" s="275">
        <f>G54+G57+G59</f>
        <v>0</v>
      </c>
      <c r="H53" s="275"/>
      <c r="I53" s="275">
        <f>SUM(I54:I56)</f>
        <v>9626.85</v>
      </c>
      <c r="J53" s="275"/>
      <c r="K53" s="275">
        <f>SUM(K54:K56)</f>
        <v>21477.15</v>
      </c>
      <c r="L53" s="275"/>
      <c r="M53" s="275">
        <f>M54+M57+M59</f>
        <v>0</v>
      </c>
      <c r="N53" s="275"/>
      <c r="O53" s="275">
        <f>SUM(O54:O56)</f>
        <v>0.05</v>
      </c>
      <c r="P53" s="275"/>
      <c r="Q53" s="275">
        <f>SUM(Q54:Q56)</f>
        <v>0</v>
      </c>
      <c r="R53" s="275"/>
      <c r="S53" s="275"/>
      <c r="T53" s="276"/>
      <c r="U53" s="269"/>
      <c r="V53" s="269"/>
      <c r="W53" s="269"/>
      <c r="X53" s="269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</row>
    <row r="54" spans="1:60" s="261" customFormat="1" ht="12.75" outlineLevel="1">
      <c r="A54" s="329">
        <v>18</v>
      </c>
      <c r="B54" s="330" t="s">
        <v>287</v>
      </c>
      <c r="C54" s="331" t="s">
        <v>324</v>
      </c>
      <c r="D54" s="332" t="s">
        <v>97</v>
      </c>
      <c r="E54" s="328">
        <v>10</v>
      </c>
      <c r="F54" s="281"/>
      <c r="G54" s="333">
        <f>E54*F54</f>
        <v>0</v>
      </c>
      <c r="H54" s="334">
        <v>356.55</v>
      </c>
      <c r="I54" s="333">
        <v>9626.85</v>
      </c>
      <c r="J54" s="334">
        <v>795.45</v>
      </c>
      <c r="K54" s="333">
        <v>21477.15</v>
      </c>
      <c r="L54" s="333">
        <v>21</v>
      </c>
      <c r="M54" s="333">
        <f>G54*1.21</f>
        <v>0</v>
      </c>
      <c r="N54" s="333">
        <v>0.00468</v>
      </c>
      <c r="O54" s="333">
        <f>ROUND(E54*N54,2)</f>
        <v>0.05</v>
      </c>
      <c r="P54" s="333">
        <v>0</v>
      </c>
      <c r="Q54" s="350">
        <f>ROUND(E54*P54,2)</f>
        <v>0</v>
      </c>
      <c r="R54" s="333" t="s">
        <v>172</v>
      </c>
      <c r="S54" s="333" t="s">
        <v>192</v>
      </c>
      <c r="T54" s="333" t="s">
        <v>100</v>
      </c>
      <c r="U54" s="269"/>
      <c r="V54" s="269"/>
      <c r="W54" s="269"/>
      <c r="X54" s="269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</row>
    <row r="55" spans="1:60" s="261" customFormat="1" ht="12.75" customHeight="1" outlineLevel="1">
      <c r="A55" s="267"/>
      <c r="B55" s="268"/>
      <c r="C55" s="445" t="s">
        <v>254</v>
      </c>
      <c r="D55" s="446"/>
      <c r="E55" s="446"/>
      <c r="F55" s="446"/>
      <c r="G55" s="446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</row>
    <row r="56" spans="1:60" s="261" customFormat="1" ht="12.75" outlineLevel="1">
      <c r="A56" s="267"/>
      <c r="B56" s="268"/>
      <c r="C56" s="447"/>
      <c r="D56" s="448"/>
      <c r="E56" s="448"/>
      <c r="F56" s="448"/>
      <c r="G56" s="448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</row>
    <row r="57" spans="1:60" s="261" customFormat="1" ht="22.5" outlineLevel="1">
      <c r="A57" s="277">
        <v>19</v>
      </c>
      <c r="B57" s="278" t="s">
        <v>307</v>
      </c>
      <c r="C57" s="285" t="s">
        <v>308</v>
      </c>
      <c r="D57" s="279" t="s">
        <v>112</v>
      </c>
      <c r="E57" s="280">
        <v>76</v>
      </c>
      <c r="F57" s="281"/>
      <c r="G57" s="282">
        <f>ROUND(E57*F57,2)</f>
        <v>0</v>
      </c>
      <c r="H57" s="281">
        <v>754.24</v>
      </c>
      <c r="I57" s="282">
        <f>ROUND(E57*H57,2)</f>
        <v>57322.24</v>
      </c>
      <c r="J57" s="281">
        <v>529.76</v>
      </c>
      <c r="K57" s="282">
        <f>ROUND(E57*J57,2)</f>
        <v>40261.76</v>
      </c>
      <c r="L57" s="282">
        <v>21</v>
      </c>
      <c r="M57" s="282">
        <f>G57*(1+L57/100)</f>
        <v>0</v>
      </c>
      <c r="N57" s="282">
        <v>0.72618</v>
      </c>
      <c r="O57" s="282">
        <f>ROUND(E57*N57,2)</f>
        <v>55.19</v>
      </c>
      <c r="P57" s="282">
        <v>0</v>
      </c>
      <c r="Q57" s="282">
        <f>ROUND(E57*P57,2)</f>
        <v>0</v>
      </c>
      <c r="R57" s="282" t="s">
        <v>212</v>
      </c>
      <c r="S57" s="282" t="s">
        <v>192</v>
      </c>
      <c r="T57" s="282" t="s">
        <v>192</v>
      </c>
      <c r="U57" s="269"/>
      <c r="V57" s="269"/>
      <c r="W57" s="269"/>
      <c r="X57" s="269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</row>
    <row r="58" spans="1:60" s="261" customFormat="1" ht="12.75" outlineLevel="1">
      <c r="A58" s="267"/>
      <c r="B58" s="268"/>
      <c r="C58" s="319"/>
      <c r="D58" s="320"/>
      <c r="E58" s="320"/>
      <c r="F58" s="320"/>
      <c r="G58" s="320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6"/>
    </row>
    <row r="59" spans="1:60" s="261" customFormat="1" ht="22.5" outlineLevel="1">
      <c r="A59" s="277">
        <v>20</v>
      </c>
      <c r="B59" s="278" t="s">
        <v>210</v>
      </c>
      <c r="C59" s="285" t="s">
        <v>211</v>
      </c>
      <c r="D59" s="279" t="s">
        <v>97</v>
      </c>
      <c r="E59" s="280">
        <v>2</v>
      </c>
      <c r="F59" s="281"/>
      <c r="G59" s="282">
        <f>ROUND(E59*F59,2)</f>
        <v>0</v>
      </c>
      <c r="H59" s="281">
        <v>754.24</v>
      </c>
      <c r="I59" s="282">
        <f>ROUND(E59*H59,2)</f>
        <v>1508.48</v>
      </c>
      <c r="J59" s="281">
        <v>529.76</v>
      </c>
      <c r="K59" s="282">
        <f>ROUND(E59*J59,2)</f>
        <v>1059.52</v>
      </c>
      <c r="L59" s="282">
        <v>21</v>
      </c>
      <c r="M59" s="282">
        <f>G59*(1+L59/100)</f>
        <v>0</v>
      </c>
      <c r="N59" s="282">
        <v>0.72618</v>
      </c>
      <c r="O59" s="282">
        <f>ROUND(E59*N59,2)</f>
        <v>1.45</v>
      </c>
      <c r="P59" s="282">
        <v>0</v>
      </c>
      <c r="Q59" s="282">
        <f>ROUND(E59*P59,2)</f>
        <v>0</v>
      </c>
      <c r="R59" s="282" t="s">
        <v>212</v>
      </c>
      <c r="S59" s="282" t="s">
        <v>192</v>
      </c>
      <c r="T59" s="282" t="s">
        <v>192</v>
      </c>
      <c r="U59" s="269"/>
      <c r="V59" s="269"/>
      <c r="W59" s="269"/>
      <c r="X59" s="269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</row>
    <row r="60" spans="1:60" s="261" customFormat="1" ht="12.75" outlineLevel="1">
      <c r="A60" s="267"/>
      <c r="B60" s="268"/>
      <c r="C60" s="445" t="s">
        <v>213</v>
      </c>
      <c r="D60" s="446"/>
      <c r="E60" s="446"/>
      <c r="F60" s="446"/>
      <c r="G60" s="446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</row>
    <row r="61" spans="1:60" s="261" customFormat="1" ht="12.75" outlineLevel="1">
      <c r="A61" s="267"/>
      <c r="B61" s="268"/>
      <c r="C61" s="319"/>
      <c r="D61" s="320"/>
      <c r="E61" s="320"/>
      <c r="F61" s="320"/>
      <c r="G61" s="320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</row>
    <row r="62" spans="1:33" ht="12.75">
      <c r="A62" s="148" t="s">
        <v>91</v>
      </c>
      <c r="B62" s="149" t="s">
        <v>54</v>
      </c>
      <c r="C62" s="164" t="s">
        <v>55</v>
      </c>
      <c r="D62" s="150"/>
      <c r="E62" s="151"/>
      <c r="F62" s="152"/>
      <c r="G62" s="152">
        <f>G63+G65+G67+G69+G71+G73+G75+G78+G80+G82+G84</f>
        <v>0</v>
      </c>
      <c r="H62" s="152"/>
      <c r="I62" s="152">
        <f>SUM(I65:I78)</f>
        <v>166354.76</v>
      </c>
      <c r="J62" s="152"/>
      <c r="K62" s="152">
        <f>SUM(K65:K78)</f>
        <v>83025.23999999999</v>
      </c>
      <c r="L62" s="152"/>
      <c r="M62" s="152">
        <f>M63+M65+M67+M69+M71+M73+M75+M78+M80+M82+M84</f>
        <v>0</v>
      </c>
      <c r="N62" s="152"/>
      <c r="O62" s="152">
        <f>SUM(O65:O78)</f>
        <v>284.60999999999996</v>
      </c>
      <c r="P62" s="152"/>
      <c r="Q62" s="152">
        <f>SUM(Q65:Q78)</f>
        <v>0</v>
      </c>
      <c r="R62" s="152"/>
      <c r="S62" s="152"/>
      <c r="T62" s="153"/>
      <c r="U62" s="147"/>
      <c r="V62" s="147">
        <f>SUM(V65:V78)</f>
        <v>0</v>
      </c>
      <c r="W62" s="147"/>
      <c r="X62" s="147"/>
      <c r="Y62" s="84"/>
      <c r="AG62" t="s">
        <v>92</v>
      </c>
    </row>
    <row r="63" spans="1:25" s="211" customFormat="1" ht="12.75">
      <c r="A63" s="216">
        <v>21</v>
      </c>
      <c r="B63" s="256" t="s">
        <v>294</v>
      </c>
      <c r="C63" s="246" t="s">
        <v>293</v>
      </c>
      <c r="D63" s="251" t="s">
        <v>114</v>
      </c>
      <c r="E63" s="193">
        <v>12</v>
      </c>
      <c r="F63" s="252"/>
      <c r="G63" s="253">
        <f>ROUND(E63*F63,2)</f>
        <v>0</v>
      </c>
      <c r="H63" s="252">
        <v>164.95</v>
      </c>
      <c r="I63" s="253">
        <f>ROUND(E63*H63,2)</f>
        <v>1979.4</v>
      </c>
      <c r="J63" s="252">
        <v>26.05</v>
      </c>
      <c r="K63" s="253">
        <f>ROUND(E63*J63,2)</f>
        <v>312.6</v>
      </c>
      <c r="L63" s="253">
        <v>21</v>
      </c>
      <c r="M63" s="253">
        <f>G63*(1+L63/100)</f>
        <v>0</v>
      </c>
      <c r="N63" s="253">
        <v>0.378</v>
      </c>
      <c r="O63" s="253">
        <f>ROUND(E63*N63,2)</f>
        <v>4.54</v>
      </c>
      <c r="P63" s="253">
        <v>0</v>
      </c>
      <c r="Q63" s="253">
        <f>ROUND(E63*P63,2)</f>
        <v>0</v>
      </c>
      <c r="R63" s="253" t="s">
        <v>108</v>
      </c>
      <c r="S63" s="253" t="s">
        <v>192</v>
      </c>
      <c r="T63" s="253" t="s">
        <v>192</v>
      </c>
      <c r="U63" s="147"/>
      <c r="V63" s="147"/>
      <c r="W63" s="147"/>
      <c r="X63" s="147"/>
      <c r="Y63" s="84"/>
    </row>
    <row r="64" spans="1:25" s="211" customFormat="1" ht="12.75">
      <c r="A64" s="213"/>
      <c r="B64" s="214"/>
      <c r="C64" s="449"/>
      <c r="D64" s="450"/>
      <c r="E64" s="450"/>
      <c r="F64" s="450"/>
      <c r="G64" s="450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147"/>
      <c r="V64" s="147"/>
      <c r="W64" s="147"/>
      <c r="X64" s="147"/>
      <c r="Y64" s="84"/>
    </row>
    <row r="65" spans="1:60" ht="22.5" outlineLevel="1">
      <c r="A65" s="277">
        <v>22</v>
      </c>
      <c r="B65" s="296" t="s">
        <v>178</v>
      </c>
      <c r="C65" s="285" t="s">
        <v>204</v>
      </c>
      <c r="D65" s="279" t="s">
        <v>97</v>
      </c>
      <c r="E65" s="286">
        <f>E75+E73</f>
        <v>337</v>
      </c>
      <c r="F65" s="281"/>
      <c r="G65" s="282">
        <f>ROUND(E65*F65,2)</f>
        <v>0</v>
      </c>
      <c r="H65" s="281">
        <v>164.95</v>
      </c>
      <c r="I65" s="282">
        <f>ROUND(E65*H65,2)</f>
        <v>55588.15</v>
      </c>
      <c r="J65" s="281">
        <v>26.05</v>
      </c>
      <c r="K65" s="282">
        <f>ROUND(E65*J65,2)</f>
        <v>8778.85</v>
      </c>
      <c r="L65" s="282">
        <v>21</v>
      </c>
      <c r="M65" s="282">
        <f>G65*(1+L65/100)</f>
        <v>0</v>
      </c>
      <c r="N65" s="282">
        <v>0.378</v>
      </c>
      <c r="O65" s="282">
        <f>ROUND(E65*N65,2)</f>
        <v>127.39</v>
      </c>
      <c r="P65" s="282">
        <v>0</v>
      </c>
      <c r="Q65" s="282">
        <f>ROUND(E65*P65,2)</f>
        <v>0</v>
      </c>
      <c r="R65" s="282" t="s">
        <v>108</v>
      </c>
      <c r="S65" s="282" t="s">
        <v>192</v>
      </c>
      <c r="T65" s="282" t="s">
        <v>192</v>
      </c>
      <c r="U65" s="146"/>
      <c r="V65" s="146"/>
      <c r="W65" s="146"/>
      <c r="X65" s="146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</row>
    <row r="66" spans="1:60" ht="12.75" outlineLevel="1">
      <c r="A66" s="144"/>
      <c r="B66" s="145"/>
      <c r="C66" s="175"/>
      <c r="D66" s="176"/>
      <c r="E66" s="176"/>
      <c r="F66" s="176"/>
      <c r="G66" s="17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</row>
    <row r="67" spans="1:60" s="261" customFormat="1" ht="12.75" outlineLevel="1">
      <c r="A67" s="277">
        <v>23</v>
      </c>
      <c r="B67" s="278" t="s">
        <v>232</v>
      </c>
      <c r="C67" s="285" t="s">
        <v>231</v>
      </c>
      <c r="D67" s="279" t="s">
        <v>97</v>
      </c>
      <c r="E67" s="280">
        <f>E84</f>
        <v>57</v>
      </c>
      <c r="F67" s="281"/>
      <c r="G67" s="282">
        <f>ROUND(E67*F67,2)</f>
        <v>0</v>
      </c>
      <c r="H67" s="281">
        <v>164.95</v>
      </c>
      <c r="I67" s="282">
        <f>ROUND(E67*H67,2)</f>
        <v>9402.15</v>
      </c>
      <c r="J67" s="281">
        <v>26.05</v>
      </c>
      <c r="K67" s="282">
        <f>ROUND(E67*J67,2)</f>
        <v>1484.85</v>
      </c>
      <c r="L67" s="282">
        <v>21</v>
      </c>
      <c r="M67" s="282">
        <f>G67*(1+L67/100)</f>
        <v>0</v>
      </c>
      <c r="N67" s="282">
        <v>0.378</v>
      </c>
      <c r="O67" s="282">
        <f>ROUND(E67*N67,2)</f>
        <v>21.55</v>
      </c>
      <c r="P67" s="282">
        <v>0</v>
      </c>
      <c r="Q67" s="282">
        <f>ROUND(E67*P67,2)</f>
        <v>0</v>
      </c>
      <c r="R67" s="282" t="s">
        <v>108</v>
      </c>
      <c r="S67" s="282" t="s">
        <v>192</v>
      </c>
      <c r="T67" s="282" t="s">
        <v>192</v>
      </c>
      <c r="U67" s="269"/>
      <c r="V67" s="269"/>
      <c r="W67" s="269"/>
      <c r="X67" s="269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  <c r="BF67" s="266"/>
      <c r="BG67" s="266"/>
      <c r="BH67" s="266"/>
    </row>
    <row r="68" spans="1:60" s="261" customFormat="1" ht="12.75" outlineLevel="1">
      <c r="A68" s="267"/>
      <c r="B68" s="268"/>
      <c r="C68" s="304"/>
      <c r="D68" s="305"/>
      <c r="E68" s="305"/>
      <c r="F68" s="305"/>
      <c r="G68" s="305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</row>
    <row r="69" spans="1:60" s="261" customFormat="1" ht="12.75" outlineLevel="1">
      <c r="A69" s="277">
        <v>24</v>
      </c>
      <c r="B69" s="278" t="s">
        <v>228</v>
      </c>
      <c r="C69" s="285" t="s">
        <v>229</v>
      </c>
      <c r="D69" s="279" t="s">
        <v>97</v>
      </c>
      <c r="E69" s="280">
        <f>E73</f>
        <v>155</v>
      </c>
      <c r="F69" s="281"/>
      <c r="G69" s="282">
        <f>ROUND(E69*F69,2)</f>
        <v>0</v>
      </c>
      <c r="H69" s="281">
        <v>279.17</v>
      </c>
      <c r="I69" s="282">
        <f>ROUND(E69*H69,2)</f>
        <v>43271.35</v>
      </c>
      <c r="J69" s="281">
        <v>44.33</v>
      </c>
      <c r="K69" s="282">
        <f>ROUND(E69*J69,2)</f>
        <v>6871.15</v>
      </c>
      <c r="L69" s="282">
        <v>21</v>
      </c>
      <c r="M69" s="282">
        <f>G69*(1+L69/100)</f>
        <v>0</v>
      </c>
      <c r="N69" s="282">
        <v>0.32754</v>
      </c>
      <c r="O69" s="282">
        <f>ROUND(E69*N69,2)</f>
        <v>50.77</v>
      </c>
      <c r="P69" s="282">
        <v>0</v>
      </c>
      <c r="Q69" s="282">
        <f>ROUND(E69*P69,2)</f>
        <v>0</v>
      </c>
      <c r="R69" s="282" t="s">
        <v>108</v>
      </c>
      <c r="S69" s="282" t="s">
        <v>192</v>
      </c>
      <c r="T69" s="282" t="s">
        <v>192</v>
      </c>
      <c r="U69" s="269"/>
      <c r="V69" s="269"/>
      <c r="W69" s="269"/>
      <c r="X69" s="269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6"/>
      <c r="BG69" s="266"/>
      <c r="BH69" s="266"/>
    </row>
    <row r="70" spans="1:60" s="261" customFormat="1" ht="12.75" outlineLevel="1">
      <c r="A70" s="267"/>
      <c r="B70" s="268"/>
      <c r="C70" s="304"/>
      <c r="D70" s="305"/>
      <c r="E70" s="305"/>
      <c r="F70" s="305"/>
      <c r="G70" s="305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</row>
    <row r="71" spans="1:60" s="261" customFormat="1" ht="12.75" outlineLevel="1">
      <c r="A71" s="277">
        <v>25</v>
      </c>
      <c r="B71" s="278" t="s">
        <v>233</v>
      </c>
      <c r="C71" s="285" t="s">
        <v>234</v>
      </c>
      <c r="D71" s="279" t="s">
        <v>97</v>
      </c>
      <c r="E71" s="280">
        <f>E84</f>
        <v>57</v>
      </c>
      <c r="F71" s="281"/>
      <c r="G71" s="282">
        <f>ROUND(E71*F71,2)</f>
        <v>0</v>
      </c>
      <c r="H71" s="281">
        <v>279.17</v>
      </c>
      <c r="I71" s="282">
        <f>ROUND(E71*H71,2)</f>
        <v>15912.69</v>
      </c>
      <c r="J71" s="281">
        <v>44.33</v>
      </c>
      <c r="K71" s="282">
        <f>ROUND(E71*J71,2)</f>
        <v>2526.81</v>
      </c>
      <c r="L71" s="282">
        <v>21</v>
      </c>
      <c r="M71" s="282">
        <f>G71*(1+L71/100)</f>
        <v>0</v>
      </c>
      <c r="N71" s="282">
        <v>0.32754</v>
      </c>
      <c r="O71" s="282">
        <f>ROUND(E71*N71,2)</f>
        <v>18.67</v>
      </c>
      <c r="P71" s="282">
        <v>0</v>
      </c>
      <c r="Q71" s="282">
        <f>ROUND(E71*P71,2)</f>
        <v>0</v>
      </c>
      <c r="R71" s="282" t="s">
        <v>108</v>
      </c>
      <c r="S71" s="282" t="s">
        <v>192</v>
      </c>
      <c r="T71" s="282" t="s">
        <v>192</v>
      </c>
      <c r="U71" s="269"/>
      <c r="V71" s="269"/>
      <c r="W71" s="269"/>
      <c r="X71" s="269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6"/>
      <c r="BG71" s="266"/>
      <c r="BH71" s="266"/>
    </row>
    <row r="72" spans="1:60" s="261" customFormat="1" ht="12.75" outlineLevel="1">
      <c r="A72" s="267"/>
      <c r="B72" s="268"/>
      <c r="C72" s="304"/>
      <c r="D72" s="305"/>
      <c r="E72" s="305"/>
      <c r="F72" s="305"/>
      <c r="G72" s="305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</row>
    <row r="73" spans="1:60" ht="22.5" customHeight="1" outlineLevel="1">
      <c r="A73" s="216">
        <v>26</v>
      </c>
      <c r="B73" s="217" t="s">
        <v>205</v>
      </c>
      <c r="C73" s="222" t="s">
        <v>235</v>
      </c>
      <c r="D73" s="218" t="s">
        <v>97</v>
      </c>
      <c r="E73" s="219">
        <f>61+E11</f>
        <v>155</v>
      </c>
      <c r="F73" s="220"/>
      <c r="G73" s="221">
        <f>ROUND(E73*F73,2)</f>
        <v>0</v>
      </c>
      <c r="H73" s="220">
        <v>212.06</v>
      </c>
      <c r="I73" s="221">
        <f>ROUND(E73*H73,2)</f>
        <v>32869.3</v>
      </c>
      <c r="J73" s="220">
        <v>128.94</v>
      </c>
      <c r="K73" s="221">
        <f>ROUND(E73*J73,2)</f>
        <v>19985.7</v>
      </c>
      <c r="L73" s="221">
        <v>21</v>
      </c>
      <c r="M73" s="221">
        <f>G73*(1+L73/100)</f>
        <v>0</v>
      </c>
      <c r="N73" s="221">
        <v>0.10373</v>
      </c>
      <c r="O73" s="221">
        <f>ROUND(E73*N73,2)</f>
        <v>16.08</v>
      </c>
      <c r="P73" s="221">
        <v>0</v>
      </c>
      <c r="Q73" s="221">
        <f>ROUND(E73*P73,2)</f>
        <v>0</v>
      </c>
      <c r="R73" s="221" t="s">
        <v>108</v>
      </c>
      <c r="S73" s="221" t="s">
        <v>192</v>
      </c>
      <c r="T73" s="221" t="s">
        <v>192</v>
      </c>
      <c r="U73" s="146"/>
      <c r="V73" s="146"/>
      <c r="W73" s="146"/>
      <c r="X73" s="146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</row>
    <row r="74" spans="1:60" ht="12.75" customHeight="1" outlineLevel="1">
      <c r="A74" s="213"/>
      <c r="B74" s="214"/>
      <c r="C74" s="240"/>
      <c r="D74" s="241"/>
      <c r="E74" s="241"/>
      <c r="F74" s="241"/>
      <c r="G74" s="241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146"/>
      <c r="V74" s="146"/>
      <c r="W74" s="146"/>
      <c r="X74" s="146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</row>
    <row r="75" spans="1:60" s="197" customFormat="1" ht="12.75" customHeight="1" outlineLevel="1">
      <c r="A75" s="202">
        <v>27</v>
      </c>
      <c r="B75" s="203" t="s">
        <v>159</v>
      </c>
      <c r="C75" s="208" t="s">
        <v>156</v>
      </c>
      <c r="D75" s="204" t="s">
        <v>97</v>
      </c>
      <c r="E75" s="286">
        <v>182</v>
      </c>
      <c r="F75" s="205"/>
      <c r="G75" s="206">
        <f>ROUND(E75*F75,2)</f>
        <v>0</v>
      </c>
      <c r="H75" s="205">
        <v>51.16</v>
      </c>
      <c r="I75" s="206">
        <f>ROUND(E75*H75,2)</f>
        <v>9311.12</v>
      </c>
      <c r="J75" s="205">
        <v>238.34</v>
      </c>
      <c r="K75" s="206">
        <f>ROUND(E75*J75,2)</f>
        <v>43377.88</v>
      </c>
      <c r="L75" s="206">
        <v>21</v>
      </c>
      <c r="M75" s="206">
        <f>G75*(1+L75/100)</f>
        <v>0</v>
      </c>
      <c r="N75" s="206">
        <v>0.0928</v>
      </c>
      <c r="O75" s="206">
        <f>ROUND(E75*N75,2)</f>
        <v>16.89</v>
      </c>
      <c r="P75" s="206">
        <v>0</v>
      </c>
      <c r="Q75" s="206">
        <f>ROUND(E75*P75,2)</f>
        <v>0</v>
      </c>
      <c r="R75" s="206" t="s">
        <v>108</v>
      </c>
      <c r="S75" s="221" t="s">
        <v>192</v>
      </c>
      <c r="T75" s="221" t="s">
        <v>192</v>
      </c>
      <c r="U75" s="201"/>
      <c r="V75" s="201"/>
      <c r="W75" s="201"/>
      <c r="X75" s="201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</row>
    <row r="76" spans="1:60" s="197" customFormat="1" ht="21.75" customHeight="1" outlineLevel="1">
      <c r="A76" s="199"/>
      <c r="B76" s="200"/>
      <c r="C76" s="445" t="s">
        <v>125</v>
      </c>
      <c r="D76" s="446"/>
      <c r="E76" s="446"/>
      <c r="F76" s="446"/>
      <c r="G76" s="446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</row>
    <row r="77" spans="1:60" s="197" customFormat="1" ht="12.75" customHeight="1" outlineLevel="1">
      <c r="A77" s="199"/>
      <c r="B77" s="200"/>
      <c r="C77" s="209"/>
      <c r="D77" s="207"/>
      <c r="E77" s="207"/>
      <c r="F77" s="207"/>
      <c r="G77" s="207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</row>
    <row r="78" spans="1:60" ht="12.75" outlineLevel="1">
      <c r="A78" s="154">
        <v>28</v>
      </c>
      <c r="B78" s="155" t="s">
        <v>180</v>
      </c>
      <c r="C78" s="165" t="s">
        <v>179</v>
      </c>
      <c r="D78" s="156" t="s">
        <v>97</v>
      </c>
      <c r="E78" s="157">
        <f>(E75-E80)*1.05</f>
        <v>189</v>
      </c>
      <c r="F78" s="158"/>
      <c r="G78" s="159">
        <f>ROUND(E78*F78,2)</f>
        <v>0</v>
      </c>
      <c r="H78" s="146"/>
      <c r="I78" s="146"/>
      <c r="J78" s="146"/>
      <c r="K78" s="146"/>
      <c r="L78" s="159">
        <v>21</v>
      </c>
      <c r="M78" s="159">
        <f>G78*(1+L78/100)</f>
        <v>0</v>
      </c>
      <c r="N78" s="159">
        <v>0.176</v>
      </c>
      <c r="O78" s="159">
        <f>ROUND(E78*N78,2)</f>
        <v>33.26</v>
      </c>
      <c r="P78" s="159">
        <v>0</v>
      </c>
      <c r="Q78" s="159">
        <f>ROUND(E78*P78,2)</f>
        <v>0</v>
      </c>
      <c r="R78" s="159" t="s">
        <v>94</v>
      </c>
      <c r="S78" s="221" t="s">
        <v>192</v>
      </c>
      <c r="T78" s="221" t="s">
        <v>100</v>
      </c>
      <c r="U78" s="146"/>
      <c r="V78" s="146"/>
      <c r="W78" s="146"/>
      <c r="X78" s="146"/>
      <c r="Y78" s="137"/>
      <c r="Z78" s="137"/>
      <c r="AA78" s="137"/>
      <c r="AB78" s="137"/>
      <c r="AC78" s="137"/>
      <c r="AD78" s="137"/>
      <c r="AE78" s="137"/>
      <c r="AF78" s="137"/>
      <c r="AG78" s="137" t="s">
        <v>93</v>
      </c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</row>
    <row r="79" spans="1:60" ht="12.75" outlineLevel="1">
      <c r="A79" s="144"/>
      <c r="B79" s="145"/>
      <c r="C79" s="449"/>
      <c r="D79" s="450"/>
      <c r="E79" s="450"/>
      <c r="F79" s="450"/>
      <c r="G79" s="450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</row>
    <row r="80" spans="1:60" ht="12.75" outlineLevel="1">
      <c r="A80" s="154">
        <v>29</v>
      </c>
      <c r="B80" s="155" t="s">
        <v>180</v>
      </c>
      <c r="C80" s="165" t="s">
        <v>236</v>
      </c>
      <c r="D80" s="156" t="s">
        <v>97</v>
      </c>
      <c r="E80" s="286">
        <v>2</v>
      </c>
      <c r="F80" s="158"/>
      <c r="G80" s="159">
        <f>ROUND(E80*F80,2)</f>
        <v>0</v>
      </c>
      <c r="H80" s="146"/>
      <c r="I80" s="146"/>
      <c r="J80" s="146"/>
      <c r="K80" s="146"/>
      <c r="L80" s="159">
        <v>21</v>
      </c>
      <c r="M80" s="159">
        <f>G80*(1+L80/100)</f>
        <v>0</v>
      </c>
      <c r="N80" s="159">
        <v>0.176</v>
      </c>
      <c r="O80" s="159">
        <f>ROUND(E80*N80,2)</f>
        <v>0.35</v>
      </c>
      <c r="P80" s="159">
        <v>0</v>
      </c>
      <c r="Q80" s="159">
        <f>ROUND(E80*P80,2)</f>
        <v>0</v>
      </c>
      <c r="R80" s="159" t="s">
        <v>94</v>
      </c>
      <c r="S80" s="221" t="s">
        <v>192</v>
      </c>
      <c r="T80" s="221" t="s">
        <v>100</v>
      </c>
      <c r="U80" s="146"/>
      <c r="V80" s="146"/>
      <c r="W80" s="146"/>
      <c r="X80" s="146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</row>
    <row r="81" spans="1:60" ht="12.75" outlineLevel="1">
      <c r="A81" s="144"/>
      <c r="B81" s="145"/>
      <c r="C81" s="195"/>
      <c r="D81" s="196"/>
      <c r="E81" s="196"/>
      <c r="F81" s="196"/>
      <c r="G81" s="19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84"/>
      <c r="T81" s="184"/>
      <c r="U81" s="146"/>
      <c r="V81" s="146"/>
      <c r="W81" s="146"/>
      <c r="X81" s="146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</row>
    <row r="82" spans="1:60" s="261" customFormat="1" ht="12.75" outlineLevel="1">
      <c r="A82" s="277">
        <v>30</v>
      </c>
      <c r="B82" s="278" t="s">
        <v>270</v>
      </c>
      <c r="C82" s="285" t="s">
        <v>271</v>
      </c>
      <c r="D82" s="279" t="s">
        <v>97</v>
      </c>
      <c r="E82" s="286">
        <f>19*0.2</f>
        <v>3.8000000000000003</v>
      </c>
      <c r="F82" s="281"/>
      <c r="G82" s="282">
        <f>ROUND(E82*F82,2)</f>
        <v>0</v>
      </c>
      <c r="H82" s="269"/>
      <c r="I82" s="269"/>
      <c r="J82" s="269"/>
      <c r="K82" s="269"/>
      <c r="L82" s="282">
        <v>21</v>
      </c>
      <c r="M82" s="282">
        <f>G82*(1+L82/100)</f>
        <v>0</v>
      </c>
      <c r="N82" s="282">
        <v>0.176</v>
      </c>
      <c r="O82" s="282">
        <f>ROUND(E82*N82,2)</f>
        <v>0.67</v>
      </c>
      <c r="P82" s="282">
        <v>0</v>
      </c>
      <c r="Q82" s="282">
        <f>ROUND(E82*P82,2)</f>
        <v>0</v>
      </c>
      <c r="R82" s="282" t="s">
        <v>94</v>
      </c>
      <c r="S82" s="282" t="s">
        <v>192</v>
      </c>
      <c r="T82" s="282" t="s">
        <v>100</v>
      </c>
      <c r="U82" s="269"/>
      <c r="V82" s="269"/>
      <c r="W82" s="269"/>
      <c r="X82" s="269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6"/>
      <c r="AV82" s="266"/>
      <c r="AW82" s="266"/>
      <c r="AX82" s="266"/>
      <c r="AY82" s="266"/>
      <c r="AZ82" s="266"/>
      <c r="BA82" s="266"/>
      <c r="BB82" s="266"/>
      <c r="BC82" s="266"/>
      <c r="BD82" s="266"/>
      <c r="BE82" s="266"/>
      <c r="BF82" s="266"/>
      <c r="BG82" s="266"/>
      <c r="BH82" s="266"/>
    </row>
    <row r="83" spans="1:60" s="261" customFormat="1" ht="12.75" outlineLevel="1">
      <c r="A83" s="267"/>
      <c r="B83" s="268"/>
      <c r="C83" s="321"/>
      <c r="D83" s="322"/>
      <c r="E83" s="322"/>
      <c r="F83" s="322"/>
      <c r="G83" s="322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335"/>
      <c r="T83" s="335"/>
      <c r="U83" s="269"/>
      <c r="V83" s="269"/>
      <c r="W83" s="269"/>
      <c r="X83" s="269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  <c r="BB83" s="266"/>
      <c r="BC83" s="266"/>
      <c r="BD83" s="266"/>
      <c r="BE83" s="266"/>
      <c r="BF83" s="266"/>
      <c r="BG83" s="266"/>
      <c r="BH83" s="266"/>
    </row>
    <row r="84" spans="1:60" s="211" customFormat="1" ht="12.75" outlineLevel="1">
      <c r="A84" s="250">
        <v>31</v>
      </c>
      <c r="B84" s="245" t="s">
        <v>230</v>
      </c>
      <c r="C84" s="246" t="s">
        <v>267</v>
      </c>
      <c r="D84" s="251" t="s">
        <v>97</v>
      </c>
      <c r="E84" s="286">
        <v>57</v>
      </c>
      <c r="F84" s="252"/>
      <c r="G84" s="253">
        <f>ROUND(E84*F84,2)</f>
        <v>0</v>
      </c>
      <c r="H84" s="252">
        <v>51.16</v>
      </c>
      <c r="I84" s="253">
        <f>ROUND(E84*H84,2)</f>
        <v>2916.12</v>
      </c>
      <c r="J84" s="252">
        <v>238.34</v>
      </c>
      <c r="K84" s="253">
        <f>ROUND(E84*J84,2)</f>
        <v>13585.38</v>
      </c>
      <c r="L84" s="253">
        <v>21</v>
      </c>
      <c r="M84" s="253">
        <f>G84*(1+L84/100)</f>
        <v>0</v>
      </c>
      <c r="N84" s="253">
        <v>0.0928</v>
      </c>
      <c r="O84" s="253">
        <f>ROUND(E84*N84,2)</f>
        <v>5.29</v>
      </c>
      <c r="P84" s="253">
        <v>0</v>
      </c>
      <c r="Q84" s="253">
        <f>ROUND(E84*P84,2)</f>
        <v>0</v>
      </c>
      <c r="R84" s="253" t="s">
        <v>108</v>
      </c>
      <c r="S84" s="253" t="s">
        <v>192</v>
      </c>
      <c r="T84" s="253" t="s">
        <v>100</v>
      </c>
      <c r="U84" s="249"/>
      <c r="V84" s="249"/>
      <c r="W84" s="249"/>
      <c r="X84" s="249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s="211" customFormat="1" ht="25.5" customHeight="1" outlineLevel="1">
      <c r="A85" s="247"/>
      <c r="B85" s="248"/>
      <c r="C85" s="445" t="s">
        <v>237</v>
      </c>
      <c r="D85" s="446"/>
      <c r="E85" s="446"/>
      <c r="F85" s="446"/>
      <c r="G85" s="446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s="211" customFormat="1" ht="12.75" outlineLevel="1">
      <c r="A86" s="247"/>
      <c r="B86" s="248"/>
      <c r="C86" s="258"/>
      <c r="D86" s="259"/>
      <c r="E86" s="259"/>
      <c r="F86" s="259"/>
      <c r="G86" s="25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s="261" customFormat="1" ht="12.75" outlineLevel="1">
      <c r="A87" s="271" t="s">
        <v>91</v>
      </c>
      <c r="B87" s="272" t="s">
        <v>221</v>
      </c>
      <c r="C87" s="284" t="s">
        <v>222</v>
      </c>
      <c r="D87" s="273"/>
      <c r="E87" s="274"/>
      <c r="F87" s="275"/>
      <c r="G87" s="275">
        <f>G88+G91+G94+G97+G100+G103</f>
        <v>0</v>
      </c>
      <c r="H87" s="275"/>
      <c r="I87" s="275" t="e">
        <f>SUM(#REF!)</f>
        <v>#REF!</v>
      </c>
      <c r="J87" s="275"/>
      <c r="K87" s="275" t="e">
        <f>SUM(#REF!)</f>
        <v>#REF!</v>
      </c>
      <c r="L87" s="275"/>
      <c r="M87" s="275">
        <f>M88+M91+M94+M97+M100+M103</f>
        <v>0</v>
      </c>
      <c r="N87" s="275"/>
      <c r="O87" s="275" t="e">
        <f>SUM(#REF!)</f>
        <v>#REF!</v>
      </c>
      <c r="P87" s="275"/>
      <c r="Q87" s="275" t="e">
        <f>SUM(#REF!)</f>
        <v>#REF!</v>
      </c>
      <c r="R87" s="275"/>
      <c r="S87" s="275"/>
      <c r="T87" s="276"/>
      <c r="U87" s="269"/>
      <c r="V87" s="269"/>
      <c r="W87" s="269"/>
      <c r="X87" s="269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6"/>
      <c r="BG87" s="266"/>
      <c r="BH87" s="266"/>
    </row>
    <row r="88" spans="1:60" s="261" customFormat="1" ht="12.75" outlineLevel="1">
      <c r="A88" s="277">
        <v>32</v>
      </c>
      <c r="B88" s="278" t="s">
        <v>255</v>
      </c>
      <c r="C88" s="292" t="s">
        <v>295</v>
      </c>
      <c r="D88" s="293" t="s">
        <v>114</v>
      </c>
      <c r="E88" s="370">
        <v>24</v>
      </c>
      <c r="F88" s="294"/>
      <c r="G88" s="295">
        <f>ROUND(E88*F88,2)</f>
        <v>0</v>
      </c>
      <c r="H88" s="281">
        <v>212.06</v>
      </c>
      <c r="I88" s="282">
        <f>ROUND(E88*H88,2)</f>
        <v>5089.44</v>
      </c>
      <c r="J88" s="281">
        <v>128.94</v>
      </c>
      <c r="K88" s="282">
        <f>ROUND(E88*J88,2)</f>
        <v>3094.56</v>
      </c>
      <c r="L88" s="282">
        <v>21</v>
      </c>
      <c r="M88" s="282">
        <f>G88*(1+L88/100)</f>
        <v>0</v>
      </c>
      <c r="N88" s="282">
        <v>0.10373</v>
      </c>
      <c r="O88" s="282">
        <f>ROUND(E88*N88,2)</f>
        <v>2.49</v>
      </c>
      <c r="P88" s="282">
        <v>0</v>
      </c>
      <c r="Q88" s="282">
        <f>ROUND(E88*P88,2)</f>
        <v>0</v>
      </c>
      <c r="R88" s="282" t="s">
        <v>108</v>
      </c>
      <c r="S88" s="282" t="s">
        <v>192</v>
      </c>
      <c r="T88" s="283" t="s">
        <v>100</v>
      </c>
      <c r="U88" s="269"/>
      <c r="V88" s="269"/>
      <c r="W88" s="269"/>
      <c r="X88" s="269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6"/>
      <c r="BG88" s="266"/>
      <c r="BH88" s="266"/>
    </row>
    <row r="89" spans="1:60" s="261" customFormat="1" ht="12.75" outlineLevel="1">
      <c r="A89" s="267"/>
      <c r="B89" s="268"/>
      <c r="C89" s="287" t="s">
        <v>296</v>
      </c>
      <c r="D89" s="288"/>
      <c r="E89" s="289"/>
      <c r="F89" s="290"/>
      <c r="G89" s="291"/>
      <c r="H89" s="270"/>
      <c r="I89" s="269"/>
      <c r="J89" s="270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  <c r="AU89" s="266"/>
      <c r="AV89" s="266"/>
      <c r="AW89" s="266"/>
      <c r="AX89" s="266"/>
      <c r="AY89" s="266"/>
      <c r="AZ89" s="266"/>
      <c r="BA89" s="266"/>
      <c r="BB89" s="266"/>
      <c r="BC89" s="266"/>
      <c r="BD89" s="266"/>
      <c r="BE89" s="266"/>
      <c r="BF89" s="266"/>
      <c r="BG89" s="266"/>
      <c r="BH89" s="266"/>
    </row>
    <row r="90" spans="1:60" s="261" customFormat="1" ht="12.75" outlineLevel="1">
      <c r="A90" s="267"/>
      <c r="B90" s="268"/>
      <c r="C90" s="319"/>
      <c r="D90" s="320"/>
      <c r="E90" s="320"/>
      <c r="F90" s="320"/>
      <c r="G90" s="320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  <c r="BB90" s="266"/>
      <c r="BC90" s="266"/>
      <c r="BD90" s="266"/>
      <c r="BE90" s="266"/>
      <c r="BF90" s="266"/>
      <c r="BG90" s="266"/>
      <c r="BH90" s="266"/>
    </row>
    <row r="91" spans="1:60" s="261" customFormat="1" ht="12.75" outlineLevel="1">
      <c r="A91" s="277">
        <v>33</v>
      </c>
      <c r="B91" s="278" t="s">
        <v>256</v>
      </c>
      <c r="C91" s="292" t="s">
        <v>297</v>
      </c>
      <c r="D91" s="293" t="s">
        <v>112</v>
      </c>
      <c r="E91" s="370">
        <v>118</v>
      </c>
      <c r="F91" s="294"/>
      <c r="G91" s="295">
        <f>ROUND(E91*F91,2)</f>
        <v>0</v>
      </c>
      <c r="H91" s="281">
        <v>212.06</v>
      </c>
      <c r="I91" s="282">
        <f>ROUND(E91*H91,2)</f>
        <v>25023.08</v>
      </c>
      <c r="J91" s="281">
        <v>128.94</v>
      </c>
      <c r="K91" s="282">
        <f>ROUND(E91*J91,2)</f>
        <v>15214.92</v>
      </c>
      <c r="L91" s="282">
        <v>21</v>
      </c>
      <c r="M91" s="282">
        <f>G91*(1+L91/100)</f>
        <v>0</v>
      </c>
      <c r="N91" s="282">
        <v>0.10373</v>
      </c>
      <c r="O91" s="282">
        <f>ROUND(E91*N91,2)</f>
        <v>12.24</v>
      </c>
      <c r="P91" s="282">
        <v>0</v>
      </c>
      <c r="Q91" s="282">
        <f>ROUND(E91*P91,2)</f>
        <v>0</v>
      </c>
      <c r="R91" s="282" t="s">
        <v>108</v>
      </c>
      <c r="S91" s="282" t="s">
        <v>192</v>
      </c>
      <c r="T91" s="283" t="s">
        <v>100</v>
      </c>
      <c r="U91" s="269"/>
      <c r="V91" s="269"/>
      <c r="W91" s="269"/>
      <c r="X91" s="269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6"/>
      <c r="AT91" s="266"/>
      <c r="AU91" s="266"/>
      <c r="AV91" s="266"/>
      <c r="AW91" s="266"/>
      <c r="AX91" s="266"/>
      <c r="AY91" s="266"/>
      <c r="AZ91" s="266"/>
      <c r="BA91" s="266"/>
      <c r="BB91" s="266"/>
      <c r="BC91" s="266"/>
      <c r="BD91" s="266"/>
      <c r="BE91" s="266"/>
      <c r="BF91" s="266"/>
      <c r="BG91" s="266"/>
      <c r="BH91" s="266"/>
    </row>
    <row r="92" spans="1:60" s="261" customFormat="1" ht="12.75" outlineLevel="1">
      <c r="A92" s="267"/>
      <c r="B92" s="268"/>
      <c r="C92" s="287" t="s">
        <v>298</v>
      </c>
      <c r="D92" s="288"/>
      <c r="E92" s="289"/>
      <c r="F92" s="290"/>
      <c r="G92" s="291"/>
      <c r="H92" s="270"/>
      <c r="I92" s="269"/>
      <c r="J92" s="270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  <c r="BF92" s="266"/>
      <c r="BG92" s="266"/>
      <c r="BH92" s="266"/>
    </row>
    <row r="93" spans="1:60" s="261" customFormat="1" ht="12.75" outlineLevel="1">
      <c r="A93" s="267"/>
      <c r="B93" s="268"/>
      <c r="C93" s="447"/>
      <c r="D93" s="448"/>
      <c r="E93" s="448"/>
      <c r="F93" s="448"/>
      <c r="G93" s="448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  <c r="AX93" s="266"/>
      <c r="AY93" s="266"/>
      <c r="AZ93" s="266"/>
      <c r="BA93" s="266"/>
      <c r="BB93" s="266"/>
      <c r="BC93" s="266"/>
      <c r="BD93" s="266"/>
      <c r="BE93" s="266"/>
      <c r="BF93" s="266"/>
      <c r="BG93" s="266"/>
      <c r="BH93" s="266"/>
    </row>
    <row r="94" spans="1:60" s="261" customFormat="1" ht="12.75" outlineLevel="1">
      <c r="A94" s="277">
        <v>34</v>
      </c>
      <c r="B94" s="278" t="s">
        <v>301</v>
      </c>
      <c r="C94" s="292" t="s">
        <v>299</v>
      </c>
      <c r="D94" s="293" t="s">
        <v>95</v>
      </c>
      <c r="E94" s="370">
        <v>3</v>
      </c>
      <c r="F94" s="294"/>
      <c r="G94" s="295">
        <f>ROUND(E94*F94,2)</f>
        <v>0</v>
      </c>
      <c r="H94" s="281">
        <v>212.06</v>
      </c>
      <c r="I94" s="282">
        <f>ROUND(E94*H94,2)</f>
        <v>636.18</v>
      </c>
      <c r="J94" s="281">
        <v>128.94</v>
      </c>
      <c r="K94" s="282">
        <f>ROUND(E94*J94,2)</f>
        <v>386.82</v>
      </c>
      <c r="L94" s="282">
        <v>21</v>
      </c>
      <c r="M94" s="282">
        <f>G94*(1+L94/100)</f>
        <v>0</v>
      </c>
      <c r="N94" s="282">
        <v>0.10373</v>
      </c>
      <c r="O94" s="282">
        <f>ROUND(E94*N94,2)</f>
        <v>0.31</v>
      </c>
      <c r="P94" s="282">
        <v>0</v>
      </c>
      <c r="Q94" s="282">
        <f>ROUND(E94*P94,2)</f>
        <v>0</v>
      </c>
      <c r="R94" s="282" t="s">
        <v>108</v>
      </c>
      <c r="S94" s="282" t="s">
        <v>192</v>
      </c>
      <c r="T94" s="283" t="s">
        <v>100</v>
      </c>
      <c r="U94" s="269"/>
      <c r="V94" s="269"/>
      <c r="W94" s="269"/>
      <c r="X94" s="269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6"/>
      <c r="AW94" s="266"/>
      <c r="AX94" s="266"/>
      <c r="AY94" s="266"/>
      <c r="AZ94" s="266"/>
      <c r="BA94" s="266"/>
      <c r="BB94" s="266"/>
      <c r="BC94" s="266"/>
      <c r="BD94" s="266"/>
      <c r="BE94" s="266"/>
      <c r="BF94" s="266"/>
      <c r="BG94" s="266"/>
      <c r="BH94" s="266"/>
    </row>
    <row r="95" spans="1:60" s="261" customFormat="1" ht="33.75" outlineLevel="1">
      <c r="A95" s="267"/>
      <c r="B95" s="268"/>
      <c r="C95" s="287" t="s">
        <v>300</v>
      </c>
      <c r="D95" s="288"/>
      <c r="E95" s="289"/>
      <c r="F95" s="290"/>
      <c r="G95" s="291"/>
      <c r="H95" s="270"/>
      <c r="I95" s="269"/>
      <c r="J95" s="270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  <c r="AU95" s="266"/>
      <c r="AV95" s="266"/>
      <c r="AW95" s="266"/>
      <c r="AX95" s="266"/>
      <c r="AY95" s="266"/>
      <c r="AZ95" s="266"/>
      <c r="BA95" s="266"/>
      <c r="BB95" s="266"/>
      <c r="BC95" s="266"/>
      <c r="BD95" s="266"/>
      <c r="BE95" s="266"/>
      <c r="BF95" s="266"/>
      <c r="BG95" s="266"/>
      <c r="BH95" s="266"/>
    </row>
    <row r="96" spans="1:60" s="261" customFormat="1" ht="12.75" outlineLevel="1">
      <c r="A96" s="267"/>
      <c r="B96" s="268"/>
      <c r="C96" s="319"/>
      <c r="D96" s="320"/>
      <c r="E96" s="320"/>
      <c r="F96" s="320"/>
      <c r="G96" s="320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</row>
    <row r="97" spans="1:60" s="261" customFormat="1" ht="12.75" outlineLevel="1">
      <c r="A97" s="277">
        <v>35</v>
      </c>
      <c r="B97" s="278" t="s">
        <v>303</v>
      </c>
      <c r="C97" s="292" t="s">
        <v>304</v>
      </c>
      <c r="D97" s="293" t="s">
        <v>95</v>
      </c>
      <c r="E97" s="370">
        <v>1</v>
      </c>
      <c r="F97" s="294"/>
      <c r="G97" s="295">
        <f>ROUND(E97*F97,2)</f>
        <v>0</v>
      </c>
      <c r="H97" s="281">
        <v>212.06</v>
      </c>
      <c r="I97" s="282">
        <f>ROUND(E97*H97,2)</f>
        <v>212.06</v>
      </c>
      <c r="J97" s="281">
        <v>128.94</v>
      </c>
      <c r="K97" s="282">
        <f>ROUND(E97*J97,2)</f>
        <v>128.94</v>
      </c>
      <c r="L97" s="282">
        <v>21</v>
      </c>
      <c r="M97" s="282">
        <f>G97*(1+L97/100)</f>
        <v>0</v>
      </c>
      <c r="N97" s="282">
        <v>0.10373</v>
      </c>
      <c r="O97" s="282">
        <f>ROUND(E97*N97,2)</f>
        <v>0.1</v>
      </c>
      <c r="P97" s="282">
        <v>0</v>
      </c>
      <c r="Q97" s="282">
        <f>ROUND(E97*P97,2)</f>
        <v>0</v>
      </c>
      <c r="R97" s="282" t="s">
        <v>108</v>
      </c>
      <c r="S97" s="282" t="s">
        <v>192</v>
      </c>
      <c r="T97" s="283" t="s">
        <v>100</v>
      </c>
      <c r="U97" s="269"/>
      <c r="V97" s="269"/>
      <c r="W97" s="269"/>
      <c r="X97" s="269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6"/>
      <c r="BD97" s="266"/>
      <c r="BE97" s="266"/>
      <c r="BF97" s="266"/>
      <c r="BG97" s="266"/>
      <c r="BH97" s="266"/>
    </row>
    <row r="98" spans="1:60" s="261" customFormat="1" ht="33.75" outlineLevel="1">
      <c r="A98" s="267"/>
      <c r="B98" s="268"/>
      <c r="C98" s="287" t="s">
        <v>305</v>
      </c>
      <c r="D98" s="288"/>
      <c r="E98" s="289"/>
      <c r="F98" s="290"/>
      <c r="G98" s="291"/>
      <c r="H98" s="270"/>
      <c r="I98" s="269"/>
      <c r="J98" s="270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  <c r="AU98" s="266"/>
      <c r="AV98" s="266"/>
      <c r="AW98" s="266"/>
      <c r="AX98" s="266"/>
      <c r="AY98" s="266"/>
      <c r="AZ98" s="266"/>
      <c r="BA98" s="266"/>
      <c r="BB98" s="266"/>
      <c r="BC98" s="266"/>
      <c r="BD98" s="266"/>
      <c r="BE98" s="266"/>
      <c r="BF98" s="266"/>
      <c r="BG98" s="266"/>
      <c r="BH98" s="266"/>
    </row>
    <row r="99" spans="1:60" s="261" customFormat="1" ht="12.75" outlineLevel="1">
      <c r="A99" s="267"/>
      <c r="B99" s="268"/>
      <c r="C99" s="447"/>
      <c r="D99" s="448"/>
      <c r="E99" s="448"/>
      <c r="F99" s="448"/>
      <c r="G99" s="448"/>
      <c r="H99" s="270"/>
      <c r="I99" s="269"/>
      <c r="J99" s="270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266"/>
      <c r="BE99" s="266"/>
      <c r="BF99" s="266"/>
      <c r="BG99" s="266"/>
      <c r="BH99" s="266"/>
    </row>
    <row r="100" spans="1:60" s="261" customFormat="1" ht="12.75" outlineLevel="1">
      <c r="A100" s="277">
        <v>36</v>
      </c>
      <c r="B100" s="278" t="s">
        <v>223</v>
      </c>
      <c r="C100" s="292" t="s">
        <v>302</v>
      </c>
      <c r="D100" s="310" t="s">
        <v>95</v>
      </c>
      <c r="E100" s="340">
        <v>4</v>
      </c>
      <c r="F100" s="312"/>
      <c r="G100" s="313">
        <f>ROUND(E100*F100,2)</f>
        <v>0</v>
      </c>
      <c r="H100" s="281">
        <v>212.06</v>
      </c>
      <c r="I100" s="282">
        <f>ROUND(E100*H100,2)</f>
        <v>848.24</v>
      </c>
      <c r="J100" s="281">
        <v>128.94</v>
      </c>
      <c r="K100" s="282">
        <f>ROUND(E100*J100,2)</f>
        <v>515.76</v>
      </c>
      <c r="L100" s="282">
        <v>21</v>
      </c>
      <c r="M100" s="282">
        <f>G100*(1+L100/100)</f>
        <v>0</v>
      </c>
      <c r="N100" s="282">
        <v>0.10373</v>
      </c>
      <c r="O100" s="282">
        <f>ROUND(E100*N100,2)</f>
        <v>0.41</v>
      </c>
      <c r="P100" s="282">
        <v>0</v>
      </c>
      <c r="Q100" s="282">
        <f>ROUND(E100*P100,2)</f>
        <v>0</v>
      </c>
      <c r="R100" s="282" t="s">
        <v>108</v>
      </c>
      <c r="S100" s="282" t="s">
        <v>192</v>
      </c>
      <c r="T100" s="283" t="s">
        <v>100</v>
      </c>
      <c r="U100" s="269"/>
      <c r="V100" s="269"/>
      <c r="W100" s="269"/>
      <c r="X100" s="269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  <c r="AU100" s="266"/>
      <c r="AV100" s="266"/>
      <c r="AW100" s="266"/>
      <c r="AX100" s="266"/>
      <c r="AY100" s="266"/>
      <c r="AZ100" s="266"/>
      <c r="BA100" s="266"/>
      <c r="BB100" s="266"/>
      <c r="BC100" s="266"/>
      <c r="BD100" s="266"/>
      <c r="BE100" s="266"/>
      <c r="BF100" s="266"/>
      <c r="BG100" s="266"/>
      <c r="BH100" s="266"/>
    </row>
    <row r="101" spans="1:60" s="261" customFormat="1" ht="33.75" outlineLevel="1">
      <c r="A101" s="267"/>
      <c r="B101" s="268"/>
      <c r="C101" s="287" t="s">
        <v>305</v>
      </c>
      <c r="D101" s="307"/>
      <c r="E101" s="308"/>
      <c r="F101" s="349"/>
      <c r="G101" s="269"/>
      <c r="H101" s="270"/>
      <c r="I101" s="269"/>
      <c r="J101" s="270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266"/>
      <c r="BE101" s="266"/>
      <c r="BF101" s="266"/>
      <c r="BG101" s="266"/>
      <c r="BH101" s="266"/>
    </row>
    <row r="102" spans="1:60" s="261" customFormat="1" ht="12.75" outlineLevel="1">
      <c r="A102" s="267"/>
      <c r="B102" s="268"/>
      <c r="C102" s="319"/>
      <c r="D102" s="320"/>
      <c r="E102" s="320"/>
      <c r="F102" s="320"/>
      <c r="G102" s="320"/>
      <c r="H102" s="270"/>
      <c r="I102" s="269"/>
      <c r="J102" s="270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266"/>
      <c r="BE102" s="266"/>
      <c r="BF102" s="266"/>
      <c r="BG102" s="266"/>
      <c r="BH102" s="266"/>
    </row>
    <row r="103" spans="1:60" s="261" customFormat="1" ht="12.75" outlineLevel="1">
      <c r="A103" s="277">
        <v>37</v>
      </c>
      <c r="B103" s="278" t="s">
        <v>223</v>
      </c>
      <c r="C103" s="314" t="s">
        <v>306</v>
      </c>
      <c r="D103" s="315" t="s">
        <v>112</v>
      </c>
      <c r="E103" s="316">
        <f>E91</f>
        <v>118</v>
      </c>
      <c r="F103" s="317"/>
      <c r="G103" s="318">
        <f>ROUND(E103*F103,2)</f>
        <v>0</v>
      </c>
      <c r="H103" s="281">
        <v>212.06</v>
      </c>
      <c r="I103" s="282">
        <f>ROUND(E103*H103,2)</f>
        <v>25023.08</v>
      </c>
      <c r="J103" s="281">
        <v>128.94</v>
      </c>
      <c r="K103" s="282">
        <f>ROUND(E103*J103,2)</f>
        <v>15214.92</v>
      </c>
      <c r="L103" s="282">
        <v>21</v>
      </c>
      <c r="M103" s="282">
        <f>G103*(1+L103/100)</f>
        <v>0</v>
      </c>
      <c r="N103" s="282">
        <v>0.10373</v>
      </c>
      <c r="O103" s="282">
        <f>ROUND(E103*N103,2)</f>
        <v>12.24</v>
      </c>
      <c r="P103" s="282">
        <v>0</v>
      </c>
      <c r="Q103" s="282">
        <f>ROUND(E103*P103,2)</f>
        <v>0</v>
      </c>
      <c r="R103" s="282" t="s">
        <v>108</v>
      </c>
      <c r="S103" s="282" t="s">
        <v>192</v>
      </c>
      <c r="T103" s="283" t="s">
        <v>100</v>
      </c>
      <c r="U103" s="269"/>
      <c r="V103" s="269"/>
      <c r="W103" s="269"/>
      <c r="X103" s="269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6"/>
      <c r="BD103" s="266"/>
      <c r="BE103" s="266"/>
      <c r="BF103" s="266"/>
      <c r="BG103" s="266"/>
      <c r="BH103" s="266"/>
    </row>
    <row r="104" spans="1:60" s="261" customFormat="1" ht="12.75" outlineLevel="1">
      <c r="A104" s="267"/>
      <c r="B104" s="268"/>
      <c r="C104" s="319"/>
      <c r="D104" s="320"/>
      <c r="E104" s="320"/>
      <c r="F104" s="320"/>
      <c r="G104" s="320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6"/>
      <c r="BG104" s="266"/>
      <c r="BH104" s="266"/>
    </row>
    <row r="105" spans="1:33" ht="12.75">
      <c r="A105" s="148" t="s">
        <v>91</v>
      </c>
      <c r="B105" s="149" t="s">
        <v>56</v>
      </c>
      <c r="C105" s="164" t="s">
        <v>57</v>
      </c>
      <c r="D105" s="150"/>
      <c r="E105" s="151"/>
      <c r="F105" s="152"/>
      <c r="G105" s="152">
        <f>G106+G109+G112+G114+G116+G118+G121+G123+G125+G128+G130+G133+G135+G137+G139+G142+G145+G147</f>
        <v>0</v>
      </c>
      <c r="H105" s="152"/>
      <c r="I105" s="152">
        <f>SUM(I125:I141)</f>
        <v>96185.39</v>
      </c>
      <c r="J105" s="152"/>
      <c r="K105" s="152">
        <f>SUM(K125:K141)</f>
        <v>29367.71</v>
      </c>
      <c r="L105" s="152"/>
      <c r="M105" s="152">
        <f>M106+M109+M112+M114+M116+M118+M121+M123+M125+M128+M130+M133+M135+M137+M139+M142+M145+M147</f>
        <v>0</v>
      </c>
      <c r="N105" s="152"/>
      <c r="O105" s="152">
        <f>SUM(O125:O141)</f>
        <v>62.78999999999999</v>
      </c>
      <c r="P105" s="152"/>
      <c r="Q105" s="152">
        <f>SUM(Q125:Q141)</f>
        <v>0</v>
      </c>
      <c r="R105" s="152"/>
      <c r="S105" s="152"/>
      <c r="T105" s="153"/>
      <c r="U105" s="147"/>
      <c r="V105" s="147">
        <f>SUM(V125:V141)</f>
        <v>28.990000000000002</v>
      </c>
      <c r="W105" s="147"/>
      <c r="X105" s="147"/>
      <c r="AG105" t="s">
        <v>92</v>
      </c>
    </row>
    <row r="106" spans="1:24" s="211" customFormat="1" ht="12.75">
      <c r="A106" s="216">
        <v>38</v>
      </c>
      <c r="B106" s="217" t="s">
        <v>193</v>
      </c>
      <c r="C106" s="222" t="s">
        <v>194</v>
      </c>
      <c r="D106" s="218" t="s">
        <v>95</v>
      </c>
      <c r="E106" s="286">
        <v>3</v>
      </c>
      <c r="F106" s="220"/>
      <c r="G106" s="221">
        <f>ROUND(E106*F106,2)</f>
        <v>0</v>
      </c>
      <c r="H106" s="220">
        <v>339.99</v>
      </c>
      <c r="I106" s="221">
        <f>ROUND(E106*H106,2)</f>
        <v>1019.97</v>
      </c>
      <c r="J106" s="220">
        <v>352.01</v>
      </c>
      <c r="K106" s="221">
        <f>ROUND(E106*J106,2)</f>
        <v>1056.03</v>
      </c>
      <c r="L106" s="221">
        <v>21</v>
      </c>
      <c r="M106" s="221">
        <f>G106*(1+L106/100)</f>
        <v>0</v>
      </c>
      <c r="N106" s="221">
        <v>0.2508</v>
      </c>
      <c r="O106" s="221">
        <f>ROUND(E106*N106,2)</f>
        <v>0.75</v>
      </c>
      <c r="P106" s="221">
        <v>0</v>
      </c>
      <c r="Q106" s="221">
        <f>ROUND(E106*P106,2)</f>
        <v>0</v>
      </c>
      <c r="R106" s="221" t="s">
        <v>108</v>
      </c>
      <c r="S106" s="221" t="s">
        <v>192</v>
      </c>
      <c r="T106" s="221" t="s">
        <v>192</v>
      </c>
      <c r="U106" s="147"/>
      <c r="V106" s="147"/>
      <c r="W106" s="147"/>
      <c r="X106" s="147"/>
    </row>
    <row r="107" spans="1:24" s="211" customFormat="1" ht="12.75">
      <c r="A107" s="213"/>
      <c r="B107" s="214"/>
      <c r="C107" s="181" t="s">
        <v>238</v>
      </c>
      <c r="D107" s="182"/>
      <c r="E107" s="183"/>
      <c r="F107" s="210"/>
      <c r="G107" s="184"/>
      <c r="H107" s="180"/>
      <c r="I107" s="215"/>
      <c r="J107" s="180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147"/>
      <c r="V107" s="147"/>
      <c r="W107" s="147"/>
      <c r="X107" s="147"/>
    </row>
    <row r="108" spans="1:24" s="211" customFormat="1" ht="12.75">
      <c r="A108" s="213"/>
      <c r="B108" s="214"/>
      <c r="C108" s="447"/>
      <c r="D108" s="448"/>
      <c r="E108" s="448"/>
      <c r="F108" s="448"/>
      <c r="G108" s="448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147"/>
      <c r="V108" s="147"/>
      <c r="W108" s="147"/>
      <c r="X108" s="147"/>
    </row>
    <row r="109" spans="1:24" ht="12.75">
      <c r="A109" s="154">
        <v>39</v>
      </c>
      <c r="B109" s="155" t="s">
        <v>181</v>
      </c>
      <c r="C109" s="222" t="s">
        <v>187</v>
      </c>
      <c r="D109" s="156" t="s">
        <v>95</v>
      </c>
      <c r="E109" s="157">
        <f>E106+E112</f>
        <v>5</v>
      </c>
      <c r="F109" s="158"/>
      <c r="G109" s="159">
        <f>ROUND(E109*F109,2)</f>
        <v>0</v>
      </c>
      <c r="H109" s="158">
        <v>339.99</v>
      </c>
      <c r="I109" s="159">
        <f>ROUND(E109*H109,2)</f>
        <v>1699.95</v>
      </c>
      <c r="J109" s="158">
        <v>352.01</v>
      </c>
      <c r="K109" s="159">
        <f>ROUND(E109*J109,2)</f>
        <v>1760.05</v>
      </c>
      <c r="L109" s="159">
        <v>21</v>
      </c>
      <c r="M109" s="159">
        <f>G109*(1+L109/100)</f>
        <v>0</v>
      </c>
      <c r="N109" s="159">
        <v>0.2508</v>
      </c>
      <c r="O109" s="159">
        <f>ROUND(E109*N109,2)</f>
        <v>1.25</v>
      </c>
      <c r="P109" s="159">
        <v>0</v>
      </c>
      <c r="Q109" s="159">
        <f>ROUND(E109*P109,2)</f>
        <v>0</v>
      </c>
      <c r="R109" s="159" t="s">
        <v>108</v>
      </c>
      <c r="S109" s="221" t="s">
        <v>192</v>
      </c>
      <c r="T109" s="221" t="s">
        <v>192</v>
      </c>
      <c r="U109" s="147"/>
      <c r="V109" s="147"/>
      <c r="W109" s="147"/>
      <c r="X109" s="147"/>
    </row>
    <row r="110" spans="1:24" ht="12.75">
      <c r="A110" s="144"/>
      <c r="B110" s="145"/>
      <c r="C110" s="181" t="s">
        <v>188</v>
      </c>
      <c r="D110" s="182"/>
      <c r="E110" s="183"/>
      <c r="F110" s="210"/>
      <c r="G110" s="184"/>
      <c r="H110" s="180"/>
      <c r="I110" s="146"/>
      <c r="J110" s="180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7"/>
      <c r="V110" s="147"/>
      <c r="W110" s="147"/>
      <c r="X110" s="147"/>
    </row>
    <row r="111" spans="1:24" ht="12.75">
      <c r="A111" s="144"/>
      <c r="B111" s="145"/>
      <c r="C111" s="447"/>
      <c r="D111" s="448"/>
      <c r="E111" s="448"/>
      <c r="F111" s="448"/>
      <c r="G111" s="448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7"/>
      <c r="V111" s="147"/>
      <c r="W111" s="147"/>
      <c r="X111" s="147"/>
    </row>
    <row r="112" spans="1:24" s="211" customFormat="1" ht="12.75">
      <c r="A112" s="234">
        <v>40</v>
      </c>
      <c r="B112" s="192" t="s">
        <v>189</v>
      </c>
      <c r="C112" s="235" t="s">
        <v>239</v>
      </c>
      <c r="D112" s="236" t="s">
        <v>95</v>
      </c>
      <c r="E112" s="286">
        <v>2</v>
      </c>
      <c r="F112" s="220"/>
      <c r="G112" s="237">
        <f>ROUND(E112*F112,2)</f>
        <v>0</v>
      </c>
      <c r="H112" s="238">
        <v>339.99</v>
      </c>
      <c r="I112" s="237">
        <f>ROUND(E112*H112,2)</f>
        <v>679.98</v>
      </c>
      <c r="J112" s="238">
        <v>352.01</v>
      </c>
      <c r="K112" s="237">
        <f>ROUND(E112*J112,2)</f>
        <v>704.02</v>
      </c>
      <c r="L112" s="237">
        <v>21</v>
      </c>
      <c r="M112" s="237">
        <f>G112*(1+L112/100)</f>
        <v>0</v>
      </c>
      <c r="N112" s="237">
        <v>0.2508</v>
      </c>
      <c r="O112" s="237">
        <f>ROUND(E112*N112,2)</f>
        <v>0.5</v>
      </c>
      <c r="P112" s="237">
        <v>0</v>
      </c>
      <c r="Q112" s="237">
        <f>ROUND(E112*P112,2)</f>
        <v>0</v>
      </c>
      <c r="R112" s="237" t="s">
        <v>108</v>
      </c>
      <c r="S112" s="221" t="s">
        <v>192</v>
      </c>
      <c r="T112" s="221" t="s">
        <v>100</v>
      </c>
      <c r="U112" s="147"/>
      <c r="V112" s="147"/>
      <c r="W112" s="147"/>
      <c r="X112" s="147"/>
    </row>
    <row r="113" spans="1:24" s="211" customFormat="1" ht="12.75">
      <c r="A113" s="213"/>
      <c r="B113" s="214"/>
      <c r="C113" s="232"/>
      <c r="D113" s="233"/>
      <c r="E113" s="233"/>
      <c r="F113" s="233"/>
      <c r="G113" s="233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147"/>
      <c r="V113" s="147"/>
      <c r="W113" s="147"/>
      <c r="X113" s="147"/>
    </row>
    <row r="114" spans="1:24" s="261" customFormat="1" ht="12.75">
      <c r="A114" s="234">
        <v>41</v>
      </c>
      <c r="B114" s="296" t="s">
        <v>253</v>
      </c>
      <c r="C114" s="257" t="s">
        <v>269</v>
      </c>
      <c r="D114" s="236" t="s">
        <v>268</v>
      </c>
      <c r="E114" s="286">
        <v>1</v>
      </c>
      <c r="F114" s="281"/>
      <c r="G114" s="237">
        <f>ROUND(E114*F114,2)</f>
        <v>0</v>
      </c>
      <c r="H114" s="238">
        <v>339.99</v>
      </c>
      <c r="I114" s="237">
        <f>ROUND(E114*H114,2)</f>
        <v>339.99</v>
      </c>
      <c r="J114" s="238">
        <v>352.01</v>
      </c>
      <c r="K114" s="237">
        <f>ROUND(E114*J114,2)</f>
        <v>352.01</v>
      </c>
      <c r="L114" s="237">
        <v>21</v>
      </c>
      <c r="M114" s="237">
        <f>G114*(1+L114/100)</f>
        <v>0</v>
      </c>
      <c r="N114" s="237">
        <v>0.2508</v>
      </c>
      <c r="O114" s="237">
        <f>ROUND(E114*N114,2)</f>
        <v>0.25</v>
      </c>
      <c r="P114" s="237">
        <v>0</v>
      </c>
      <c r="Q114" s="237">
        <f>ROUND(E114*P114,2)</f>
        <v>0</v>
      </c>
      <c r="R114" s="237" t="s">
        <v>108</v>
      </c>
      <c r="S114" s="282" t="s">
        <v>192</v>
      </c>
      <c r="T114" s="282" t="s">
        <v>100</v>
      </c>
      <c r="U114" s="147"/>
      <c r="V114" s="147"/>
      <c r="W114" s="147"/>
      <c r="X114" s="147"/>
    </row>
    <row r="115" spans="1:24" s="261" customFormat="1" ht="12.75">
      <c r="A115" s="267"/>
      <c r="B115" s="268"/>
      <c r="C115" s="302"/>
      <c r="D115" s="303"/>
      <c r="E115" s="303"/>
      <c r="F115" s="303"/>
      <c r="G115" s="303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147"/>
      <c r="V115" s="147"/>
      <c r="W115" s="147"/>
      <c r="X115" s="147"/>
    </row>
    <row r="116" spans="1:24" s="211" customFormat="1" ht="12.75">
      <c r="A116" s="234">
        <v>42</v>
      </c>
      <c r="B116" s="217" t="s">
        <v>206</v>
      </c>
      <c r="C116" s="222" t="s">
        <v>309</v>
      </c>
      <c r="D116" s="218" t="s">
        <v>268</v>
      </c>
      <c r="E116" s="219">
        <v>1</v>
      </c>
      <c r="F116" s="220"/>
      <c r="G116" s="221">
        <f>ROUND(E116*F116,2)</f>
        <v>0</v>
      </c>
      <c r="H116" s="220">
        <v>339.99</v>
      </c>
      <c r="I116" s="221">
        <f>ROUND(E116*H116,2)</f>
        <v>339.99</v>
      </c>
      <c r="J116" s="220">
        <v>352.01</v>
      </c>
      <c r="K116" s="221">
        <f>ROUND(E116*J116,2)</f>
        <v>352.01</v>
      </c>
      <c r="L116" s="221">
        <v>21</v>
      </c>
      <c r="M116" s="221">
        <f>G116*(1+L116/100)</f>
        <v>0</v>
      </c>
      <c r="N116" s="221">
        <v>0.2508</v>
      </c>
      <c r="O116" s="221">
        <f>ROUND(E116*N116,2)</f>
        <v>0.25</v>
      </c>
      <c r="P116" s="221">
        <v>0</v>
      </c>
      <c r="Q116" s="221">
        <f>ROUND(E116*P116,2)</f>
        <v>0</v>
      </c>
      <c r="R116" s="221" t="s">
        <v>108</v>
      </c>
      <c r="S116" s="221" t="s">
        <v>192</v>
      </c>
      <c r="T116" s="221" t="s">
        <v>100</v>
      </c>
      <c r="U116" s="147"/>
      <c r="V116" s="147"/>
      <c r="W116" s="147"/>
      <c r="X116" s="147"/>
    </row>
    <row r="117" spans="1:24" s="211" customFormat="1" ht="12.75">
      <c r="A117" s="213"/>
      <c r="B117" s="214"/>
      <c r="C117" s="232"/>
      <c r="D117" s="233"/>
      <c r="E117" s="233"/>
      <c r="F117" s="233"/>
      <c r="G117" s="233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147"/>
      <c r="V117" s="147"/>
      <c r="W117" s="147"/>
      <c r="X117" s="147"/>
    </row>
    <row r="118" spans="1:24" s="261" customFormat="1" ht="12.75">
      <c r="A118" s="234">
        <v>43</v>
      </c>
      <c r="B118" s="336" t="s">
        <v>277</v>
      </c>
      <c r="C118" s="337" t="s">
        <v>275</v>
      </c>
      <c r="D118" s="310" t="s">
        <v>112</v>
      </c>
      <c r="E118" s="311">
        <v>41</v>
      </c>
      <c r="F118" s="312"/>
      <c r="G118" s="338">
        <f>ROUND(E118*F118,2)</f>
        <v>0</v>
      </c>
      <c r="H118" s="312">
        <v>154</v>
      </c>
      <c r="I118" s="313">
        <f>ROUND(E118*H118,2)</f>
        <v>6314</v>
      </c>
      <c r="J118" s="312">
        <v>0</v>
      </c>
      <c r="K118" s="313">
        <f>ROUND(E118*J118,2)</f>
        <v>0</v>
      </c>
      <c r="L118" s="313">
        <v>21</v>
      </c>
      <c r="M118" s="313">
        <f>G118*(1+L118/100)</f>
        <v>0</v>
      </c>
      <c r="N118" s="313">
        <v>0.08197</v>
      </c>
      <c r="O118" s="313">
        <f>ROUND(E118*N118,2)</f>
        <v>3.36</v>
      </c>
      <c r="P118" s="313">
        <v>0</v>
      </c>
      <c r="Q118" s="313">
        <f>ROUND(E118*P118,2)</f>
        <v>0</v>
      </c>
      <c r="R118" s="313" t="s">
        <v>94</v>
      </c>
      <c r="S118" s="282" t="s">
        <v>192</v>
      </c>
      <c r="T118" s="282" t="s">
        <v>192</v>
      </c>
      <c r="U118" s="147"/>
      <c r="V118" s="147"/>
      <c r="W118" s="147"/>
      <c r="X118" s="147"/>
    </row>
    <row r="119" spans="1:24" s="261" customFormat="1" ht="12.75">
      <c r="A119" s="339"/>
      <c r="B119" s="243"/>
      <c r="C119" s="287" t="s">
        <v>273</v>
      </c>
      <c r="D119" s="288"/>
      <c r="E119" s="289"/>
      <c r="F119" s="290"/>
      <c r="G119" s="291"/>
      <c r="H119" s="270"/>
      <c r="I119" s="269"/>
      <c r="J119" s="270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147"/>
      <c r="V119" s="147"/>
      <c r="W119" s="147"/>
      <c r="X119" s="147"/>
    </row>
    <row r="120" spans="1:24" s="261" customFormat="1" ht="12.75">
      <c r="A120" s="267"/>
      <c r="B120" s="268"/>
      <c r="C120" s="447"/>
      <c r="D120" s="448"/>
      <c r="E120" s="448"/>
      <c r="F120" s="448"/>
      <c r="G120" s="448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147"/>
      <c r="V120" s="147"/>
      <c r="W120" s="147"/>
      <c r="X120" s="147"/>
    </row>
    <row r="121" spans="1:24" s="261" customFormat="1" ht="12.75">
      <c r="A121" s="277">
        <v>44</v>
      </c>
      <c r="B121" s="336" t="s">
        <v>278</v>
      </c>
      <c r="C121" s="337" t="s">
        <v>276</v>
      </c>
      <c r="D121" s="310" t="s">
        <v>95</v>
      </c>
      <c r="E121" s="340">
        <f>10*6.5</f>
        <v>65</v>
      </c>
      <c r="F121" s="312"/>
      <c r="G121" s="313">
        <f>ROUND(E121*F121,2)</f>
        <v>0</v>
      </c>
      <c r="H121" s="312">
        <v>148.5</v>
      </c>
      <c r="I121" s="313">
        <f>ROUND(E121*H121,2)</f>
        <v>9652.5</v>
      </c>
      <c r="J121" s="312">
        <v>0</v>
      </c>
      <c r="K121" s="313">
        <f>ROUND(E121*J121,2)</f>
        <v>0</v>
      </c>
      <c r="L121" s="313">
        <v>21</v>
      </c>
      <c r="M121" s="313">
        <f>G121*(1+L121/100)</f>
        <v>0</v>
      </c>
      <c r="N121" s="313">
        <v>0.0421</v>
      </c>
      <c r="O121" s="313">
        <f>ROUND(E121*N121,2)</f>
        <v>2.74</v>
      </c>
      <c r="P121" s="313">
        <v>0</v>
      </c>
      <c r="Q121" s="313">
        <f>ROUND(E121*P121,2)</f>
        <v>0</v>
      </c>
      <c r="R121" s="313" t="s">
        <v>94</v>
      </c>
      <c r="S121" s="282" t="s">
        <v>192</v>
      </c>
      <c r="T121" s="239" t="s">
        <v>100</v>
      </c>
      <c r="U121" s="147"/>
      <c r="V121" s="147"/>
      <c r="W121" s="147"/>
      <c r="X121" s="147"/>
    </row>
    <row r="122" spans="1:24" s="261" customFormat="1" ht="12.75">
      <c r="A122" s="267"/>
      <c r="B122" s="268"/>
      <c r="C122" s="321"/>
      <c r="D122" s="322"/>
      <c r="E122" s="322"/>
      <c r="F122" s="322"/>
      <c r="G122" s="322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147"/>
      <c r="V122" s="147"/>
      <c r="W122" s="147"/>
      <c r="X122" s="147"/>
    </row>
    <row r="123" spans="1:24" s="261" customFormat="1" ht="12.75">
      <c r="A123" s="277">
        <v>45</v>
      </c>
      <c r="B123" s="336" t="s">
        <v>279</v>
      </c>
      <c r="C123" s="337" t="s">
        <v>274</v>
      </c>
      <c r="D123" s="310" t="s">
        <v>95</v>
      </c>
      <c r="E123" s="340">
        <f>31*6.5</f>
        <v>201.5</v>
      </c>
      <c r="F123" s="312"/>
      <c r="G123" s="338">
        <f>ROUND(E123*F123,2)</f>
        <v>0</v>
      </c>
      <c r="H123" s="312">
        <v>148.5</v>
      </c>
      <c r="I123" s="313">
        <f>ROUND(E123*H123,2)</f>
        <v>29922.75</v>
      </c>
      <c r="J123" s="312">
        <v>0</v>
      </c>
      <c r="K123" s="313">
        <f>ROUND(E123*J123,2)</f>
        <v>0</v>
      </c>
      <c r="L123" s="313">
        <v>21</v>
      </c>
      <c r="M123" s="313">
        <f>G123*(1+L123/100)</f>
        <v>0</v>
      </c>
      <c r="N123" s="313">
        <v>0.0421</v>
      </c>
      <c r="O123" s="313">
        <f>ROUND(E123*N123,2)</f>
        <v>8.48</v>
      </c>
      <c r="P123" s="313">
        <v>0</v>
      </c>
      <c r="Q123" s="313">
        <f>ROUND(E123*P123,2)</f>
        <v>0</v>
      </c>
      <c r="R123" s="313" t="s">
        <v>94</v>
      </c>
      <c r="S123" s="282" t="s">
        <v>192</v>
      </c>
      <c r="T123" s="239" t="s">
        <v>100</v>
      </c>
      <c r="U123" s="147"/>
      <c r="V123" s="147"/>
      <c r="W123" s="147"/>
      <c r="X123" s="147"/>
    </row>
    <row r="124" spans="1:24" s="261" customFormat="1" ht="12.75">
      <c r="A124" s="267"/>
      <c r="B124" s="268"/>
      <c r="C124" s="449"/>
      <c r="D124" s="450"/>
      <c r="E124" s="450"/>
      <c r="F124" s="450"/>
      <c r="G124" s="450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147"/>
      <c r="V124" s="147"/>
      <c r="W124" s="147"/>
      <c r="X124" s="147"/>
    </row>
    <row r="125" spans="1:60" ht="22.5" outlineLevel="1">
      <c r="A125" s="154">
        <v>46</v>
      </c>
      <c r="B125" s="155" t="s">
        <v>241</v>
      </c>
      <c r="C125" s="165" t="s">
        <v>240</v>
      </c>
      <c r="D125" s="156" t="s">
        <v>112</v>
      </c>
      <c r="E125" s="286">
        <v>81</v>
      </c>
      <c r="F125" s="158"/>
      <c r="G125" s="159">
        <f>ROUND(E125*F125,2)</f>
        <v>0</v>
      </c>
      <c r="H125" s="158">
        <v>320.33</v>
      </c>
      <c r="I125" s="159">
        <f>ROUND(E125*H125,2)</f>
        <v>25946.73</v>
      </c>
      <c r="J125" s="158">
        <v>128.17</v>
      </c>
      <c r="K125" s="159">
        <f>ROUND(E125*J125,2)</f>
        <v>10381.77</v>
      </c>
      <c r="L125" s="159">
        <v>21</v>
      </c>
      <c r="M125" s="159">
        <f>G125*(1+L125/100)</f>
        <v>0</v>
      </c>
      <c r="N125" s="159">
        <v>0.26981</v>
      </c>
      <c r="O125" s="159">
        <f>ROUND(E125*N125,2)</f>
        <v>21.85</v>
      </c>
      <c r="P125" s="159">
        <v>0</v>
      </c>
      <c r="Q125" s="159">
        <f>ROUND(E125*P125,2)</f>
        <v>0</v>
      </c>
      <c r="R125" s="159" t="s">
        <v>108</v>
      </c>
      <c r="S125" s="221" t="s">
        <v>192</v>
      </c>
      <c r="T125" s="221" t="s">
        <v>192</v>
      </c>
      <c r="U125" s="146">
        <v>0.272</v>
      </c>
      <c r="V125" s="146">
        <f>ROUND(E125*U125,2)</f>
        <v>22.03</v>
      </c>
      <c r="W125" s="146"/>
      <c r="X125" s="146" t="s">
        <v>109</v>
      </c>
      <c r="Y125" s="137"/>
      <c r="Z125" s="137"/>
      <c r="AA125" s="137"/>
      <c r="AB125" s="137"/>
      <c r="AC125" s="137"/>
      <c r="AD125" s="137"/>
      <c r="AE125" s="137"/>
      <c r="AF125" s="137"/>
      <c r="AG125" s="137" t="s">
        <v>110</v>
      </c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</row>
    <row r="126" spans="1:60" ht="12.75" outlineLevel="1">
      <c r="A126" s="144"/>
      <c r="B126" s="145"/>
      <c r="C126" s="445" t="s">
        <v>252</v>
      </c>
      <c r="D126" s="446"/>
      <c r="E126" s="446"/>
      <c r="F126" s="446"/>
      <c r="G126" s="4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37"/>
      <c r="Z126" s="137"/>
      <c r="AA126" s="137"/>
      <c r="AB126" s="137"/>
      <c r="AC126" s="137"/>
      <c r="AD126" s="137"/>
      <c r="AE126" s="137"/>
      <c r="AF126" s="137"/>
      <c r="AG126" s="137" t="s">
        <v>111</v>
      </c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</row>
    <row r="127" spans="1:60" ht="12.75" outlineLevel="1">
      <c r="A127" s="144"/>
      <c r="B127" s="145"/>
      <c r="C127" s="447"/>
      <c r="D127" s="448"/>
      <c r="E127" s="448"/>
      <c r="F127" s="448"/>
      <c r="G127" s="448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</row>
    <row r="128" spans="1:60" s="261" customFormat="1" ht="12.75" outlineLevel="1">
      <c r="A128" s="277">
        <v>47</v>
      </c>
      <c r="B128" s="278" t="s">
        <v>195</v>
      </c>
      <c r="C128" s="285" t="s">
        <v>243</v>
      </c>
      <c r="D128" s="279" t="s">
        <v>95</v>
      </c>
      <c r="E128" s="286">
        <f>E125*1.05+0.95</f>
        <v>86</v>
      </c>
      <c r="F128" s="281"/>
      <c r="G128" s="282">
        <f>ROUND(E128*F128,2)</f>
        <v>0</v>
      </c>
      <c r="H128" s="281">
        <v>143</v>
      </c>
      <c r="I128" s="282">
        <f>ROUND(E128*H128,2)</f>
        <v>12298</v>
      </c>
      <c r="J128" s="281">
        <v>0</v>
      </c>
      <c r="K128" s="282">
        <f>ROUND(E128*J128,2)</f>
        <v>0</v>
      </c>
      <c r="L128" s="282">
        <v>21</v>
      </c>
      <c r="M128" s="282">
        <f>G128*(1+L128/100)</f>
        <v>0</v>
      </c>
      <c r="N128" s="282">
        <v>0.05417</v>
      </c>
      <c r="O128" s="282">
        <f>ROUND(E128*N128,2)</f>
        <v>4.66</v>
      </c>
      <c r="P128" s="282">
        <v>0</v>
      </c>
      <c r="Q128" s="282">
        <f>ROUND(E128*P128,2)</f>
        <v>0</v>
      </c>
      <c r="R128" s="282" t="s">
        <v>94</v>
      </c>
      <c r="S128" s="282" t="s">
        <v>192</v>
      </c>
      <c r="T128" s="282" t="s">
        <v>100</v>
      </c>
      <c r="U128" s="269"/>
      <c r="V128" s="269"/>
      <c r="W128" s="269"/>
      <c r="X128" s="269"/>
      <c r="Y128" s="266"/>
      <c r="Z128" s="266"/>
      <c r="AA128" s="266"/>
      <c r="AB128" s="266"/>
      <c r="AC128" s="266"/>
      <c r="AD128" s="266"/>
      <c r="AE128" s="266"/>
      <c r="AF128" s="266"/>
      <c r="AG128" s="266"/>
      <c r="AH128" s="266"/>
      <c r="AI128" s="266"/>
      <c r="AJ128" s="266"/>
      <c r="AK128" s="266"/>
      <c r="AL128" s="266"/>
      <c r="AM128" s="266"/>
      <c r="AN128" s="266"/>
      <c r="AO128" s="266"/>
      <c r="AP128" s="266"/>
      <c r="AQ128" s="266"/>
      <c r="AR128" s="266"/>
      <c r="AS128" s="266"/>
      <c r="AT128" s="266"/>
      <c r="AU128" s="266"/>
      <c r="AV128" s="266"/>
      <c r="AW128" s="266"/>
      <c r="AX128" s="266"/>
      <c r="AY128" s="266"/>
      <c r="AZ128" s="266"/>
      <c r="BA128" s="266"/>
      <c r="BB128" s="266"/>
      <c r="BC128" s="266"/>
      <c r="BD128" s="266"/>
      <c r="BE128" s="266"/>
      <c r="BF128" s="266"/>
      <c r="BG128" s="266"/>
      <c r="BH128" s="266"/>
    </row>
    <row r="129" spans="1:60" s="261" customFormat="1" ht="12.75" outlineLevel="1">
      <c r="A129" s="267"/>
      <c r="B129" s="268"/>
      <c r="C129" s="302"/>
      <c r="D129" s="303"/>
      <c r="E129" s="303"/>
      <c r="F129" s="303"/>
      <c r="G129" s="303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6"/>
      <c r="Z129" s="266"/>
      <c r="AA129" s="266"/>
      <c r="AB129" s="266"/>
      <c r="AC129" s="266"/>
      <c r="AD129" s="266"/>
      <c r="AE129" s="266"/>
      <c r="AF129" s="266"/>
      <c r="AG129" s="266"/>
      <c r="AH129" s="266"/>
      <c r="AI129" s="266"/>
      <c r="AJ129" s="266"/>
      <c r="AK129" s="266"/>
      <c r="AL129" s="266"/>
      <c r="AM129" s="266"/>
      <c r="AN129" s="266"/>
      <c r="AO129" s="266"/>
      <c r="AP129" s="266"/>
      <c r="AQ129" s="266"/>
      <c r="AR129" s="266"/>
      <c r="AS129" s="266"/>
      <c r="AT129" s="266"/>
      <c r="AU129" s="266"/>
      <c r="AV129" s="266"/>
      <c r="AW129" s="266"/>
      <c r="AX129" s="266"/>
      <c r="AY129" s="266"/>
      <c r="AZ129" s="266"/>
      <c r="BA129" s="266"/>
      <c r="BB129" s="266"/>
      <c r="BC129" s="266"/>
      <c r="BD129" s="266"/>
      <c r="BE129" s="266"/>
      <c r="BF129" s="266"/>
      <c r="BG129" s="266"/>
      <c r="BH129" s="266"/>
    </row>
    <row r="130" spans="1:60" ht="22.5" outlineLevel="1">
      <c r="A130" s="154">
        <v>48</v>
      </c>
      <c r="B130" s="155" t="s">
        <v>242</v>
      </c>
      <c r="C130" s="165" t="s">
        <v>158</v>
      </c>
      <c r="D130" s="156" t="s">
        <v>112</v>
      </c>
      <c r="E130" s="286">
        <v>102</v>
      </c>
      <c r="F130" s="158"/>
      <c r="G130" s="159">
        <f>ROUND(E130*F130,2)</f>
        <v>0</v>
      </c>
      <c r="H130" s="158">
        <v>320.33</v>
      </c>
      <c r="I130" s="159">
        <f>ROUND(E130*H130,2)</f>
        <v>32673.66</v>
      </c>
      <c r="J130" s="158">
        <v>128.17</v>
      </c>
      <c r="K130" s="159">
        <f>ROUND(E130*J130,2)</f>
        <v>13073.34</v>
      </c>
      <c r="L130" s="159">
        <v>21</v>
      </c>
      <c r="M130" s="159">
        <f>G130*(1+L130/100)</f>
        <v>0</v>
      </c>
      <c r="N130" s="159">
        <v>0.26981</v>
      </c>
      <c r="O130" s="159">
        <f>ROUND(E130*N130,2)</f>
        <v>27.52</v>
      </c>
      <c r="P130" s="159">
        <v>0</v>
      </c>
      <c r="Q130" s="159">
        <f>ROUND(E130*P130,2)</f>
        <v>0</v>
      </c>
      <c r="R130" s="159" t="s">
        <v>108</v>
      </c>
      <c r="S130" s="221" t="s">
        <v>192</v>
      </c>
      <c r="T130" s="221" t="s">
        <v>192</v>
      </c>
      <c r="U130" s="146"/>
      <c r="V130" s="146"/>
      <c r="W130" s="146"/>
      <c r="X130" s="146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</row>
    <row r="131" spans="1:60" ht="12.75" outlineLevel="1">
      <c r="A131" s="144"/>
      <c r="B131" s="145"/>
      <c r="C131" s="445" t="s">
        <v>252</v>
      </c>
      <c r="D131" s="446"/>
      <c r="E131" s="446"/>
      <c r="F131" s="446"/>
      <c r="G131" s="4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</row>
    <row r="132" spans="1:60" ht="12.75" outlineLevel="1">
      <c r="A132" s="144"/>
      <c r="B132" s="145"/>
      <c r="C132" s="447"/>
      <c r="D132" s="448"/>
      <c r="E132" s="448"/>
      <c r="F132" s="448"/>
      <c r="G132" s="448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</row>
    <row r="133" spans="1:60" s="261" customFormat="1" ht="12.75" outlineLevel="1">
      <c r="A133" s="277">
        <v>49</v>
      </c>
      <c r="B133" s="278" t="s">
        <v>96</v>
      </c>
      <c r="C133" s="285" t="s">
        <v>244</v>
      </c>
      <c r="D133" s="279" t="s">
        <v>95</v>
      </c>
      <c r="E133" s="286">
        <f>(E130-E135-E137)*1.05+0.05</f>
        <v>104</v>
      </c>
      <c r="F133" s="281"/>
      <c r="G133" s="282">
        <f>ROUND(E133*F133,2)</f>
        <v>0</v>
      </c>
      <c r="H133" s="281">
        <v>154</v>
      </c>
      <c r="I133" s="282">
        <f>ROUND(E133*H133,2)</f>
        <v>16016</v>
      </c>
      <c r="J133" s="281">
        <v>0</v>
      </c>
      <c r="K133" s="282">
        <f>ROUND(E133*J133,2)</f>
        <v>0</v>
      </c>
      <c r="L133" s="282">
        <v>21</v>
      </c>
      <c r="M133" s="282">
        <f>G133*(1+L133/100)</f>
        <v>0</v>
      </c>
      <c r="N133" s="282">
        <v>0.08197</v>
      </c>
      <c r="O133" s="282">
        <f>ROUND(E133*N133,2)</f>
        <v>8.52</v>
      </c>
      <c r="P133" s="282">
        <v>0</v>
      </c>
      <c r="Q133" s="282">
        <f>ROUND(E133*P133,2)</f>
        <v>0</v>
      </c>
      <c r="R133" s="282" t="s">
        <v>94</v>
      </c>
      <c r="S133" s="282" t="s">
        <v>192</v>
      </c>
      <c r="T133" s="282" t="s">
        <v>100</v>
      </c>
      <c r="U133" s="269"/>
      <c r="V133" s="269"/>
      <c r="W133" s="269"/>
      <c r="X133" s="269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  <c r="AT133" s="266"/>
      <c r="AU133" s="266"/>
      <c r="AV133" s="266"/>
      <c r="AW133" s="266"/>
      <c r="AX133" s="266"/>
      <c r="AY133" s="266"/>
      <c r="AZ133" s="266"/>
      <c r="BA133" s="266"/>
      <c r="BB133" s="266"/>
      <c r="BC133" s="266"/>
      <c r="BD133" s="266"/>
      <c r="BE133" s="266"/>
      <c r="BF133" s="266"/>
      <c r="BG133" s="266"/>
      <c r="BH133" s="266"/>
    </row>
    <row r="134" spans="1:60" s="261" customFormat="1" ht="12.75" outlineLevel="1">
      <c r="A134" s="267"/>
      <c r="B134" s="268"/>
      <c r="C134" s="302"/>
      <c r="D134" s="303"/>
      <c r="E134" s="303"/>
      <c r="F134" s="303"/>
      <c r="G134" s="303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6"/>
      <c r="Z134" s="266"/>
      <c r="AA134" s="266"/>
      <c r="AB134" s="266"/>
      <c r="AC134" s="266"/>
      <c r="AD134" s="266"/>
      <c r="AE134" s="266"/>
      <c r="AF134" s="266"/>
      <c r="AG134" s="266"/>
      <c r="AH134" s="266"/>
      <c r="AI134" s="266"/>
      <c r="AJ134" s="266"/>
      <c r="AK134" s="266"/>
      <c r="AL134" s="266"/>
      <c r="AM134" s="266"/>
      <c r="AN134" s="266"/>
      <c r="AO134" s="266"/>
      <c r="AP134" s="266"/>
      <c r="AQ134" s="266"/>
      <c r="AR134" s="266"/>
      <c r="AS134" s="266"/>
      <c r="AT134" s="266"/>
      <c r="AU134" s="266"/>
      <c r="AV134" s="266"/>
      <c r="AW134" s="266"/>
      <c r="AX134" s="266"/>
      <c r="AY134" s="266"/>
      <c r="AZ134" s="266"/>
      <c r="BA134" s="266"/>
      <c r="BB134" s="266"/>
      <c r="BC134" s="266"/>
      <c r="BD134" s="266"/>
      <c r="BE134" s="266"/>
      <c r="BF134" s="266"/>
      <c r="BG134" s="266"/>
      <c r="BH134" s="266"/>
    </row>
    <row r="135" spans="1:60" ht="22.5" outlineLevel="1">
      <c r="A135" s="277">
        <v>50</v>
      </c>
      <c r="B135" s="278" t="s">
        <v>247</v>
      </c>
      <c r="C135" s="285" t="s">
        <v>246</v>
      </c>
      <c r="D135" s="279" t="s">
        <v>95</v>
      </c>
      <c r="E135" s="286">
        <v>2</v>
      </c>
      <c r="F135" s="281"/>
      <c r="G135" s="282">
        <f>ROUND(E135*F135,2)</f>
        <v>0</v>
      </c>
      <c r="H135" s="281">
        <v>154</v>
      </c>
      <c r="I135" s="282">
        <f>ROUND(E135*H135,2)</f>
        <v>308</v>
      </c>
      <c r="J135" s="281">
        <v>0</v>
      </c>
      <c r="K135" s="282">
        <f>ROUND(E135*J135,2)</f>
        <v>0</v>
      </c>
      <c r="L135" s="282">
        <v>21</v>
      </c>
      <c r="M135" s="282">
        <f>G135*(1+L135/100)</f>
        <v>0</v>
      </c>
      <c r="N135" s="282">
        <v>0.08197</v>
      </c>
      <c r="O135" s="282">
        <f>ROUND(E135*N135,2)</f>
        <v>0.16</v>
      </c>
      <c r="P135" s="282">
        <v>0</v>
      </c>
      <c r="Q135" s="282">
        <f>ROUND(E135*P135,2)</f>
        <v>0</v>
      </c>
      <c r="R135" s="282" t="s">
        <v>94</v>
      </c>
      <c r="S135" s="282" t="s">
        <v>192</v>
      </c>
      <c r="T135" s="282" t="s">
        <v>100</v>
      </c>
      <c r="U135" s="146"/>
      <c r="V135" s="146"/>
      <c r="W135" s="146"/>
      <c r="X135" s="146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</row>
    <row r="136" spans="1:60" ht="12.75" outlineLevel="1">
      <c r="A136" s="144"/>
      <c r="B136" s="145"/>
      <c r="C136" s="190"/>
      <c r="D136" s="191"/>
      <c r="E136" s="191"/>
      <c r="F136" s="191"/>
      <c r="G136" s="191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</row>
    <row r="137" spans="1:60" ht="12.75" customHeight="1" outlineLevel="1">
      <c r="A137" s="154">
        <v>51</v>
      </c>
      <c r="B137" s="155" t="s">
        <v>248</v>
      </c>
      <c r="C137" s="285" t="s">
        <v>245</v>
      </c>
      <c r="D137" s="156" t="s">
        <v>95</v>
      </c>
      <c r="E137" s="286">
        <v>1</v>
      </c>
      <c r="F137" s="158"/>
      <c r="G137" s="159">
        <f>ROUND(E137*F137,2)</f>
        <v>0</v>
      </c>
      <c r="H137" s="158">
        <v>154</v>
      </c>
      <c r="I137" s="159">
        <f>ROUND(E137*H137,2)</f>
        <v>154</v>
      </c>
      <c r="J137" s="158">
        <v>0</v>
      </c>
      <c r="K137" s="159">
        <f>ROUND(E137*J137,2)</f>
        <v>0</v>
      </c>
      <c r="L137" s="159">
        <v>21</v>
      </c>
      <c r="M137" s="159">
        <f>G137*(1+L137/100)</f>
        <v>0</v>
      </c>
      <c r="N137" s="159">
        <v>0.08197</v>
      </c>
      <c r="O137" s="159">
        <f>ROUND(E137*N137,2)</f>
        <v>0.08</v>
      </c>
      <c r="P137" s="159">
        <v>0</v>
      </c>
      <c r="Q137" s="159">
        <f>ROUND(E137*P137,2)</f>
        <v>0</v>
      </c>
      <c r="R137" s="159" t="s">
        <v>94</v>
      </c>
      <c r="S137" s="221" t="s">
        <v>192</v>
      </c>
      <c r="T137" s="221" t="s">
        <v>100</v>
      </c>
      <c r="U137" s="146"/>
      <c r="V137" s="146"/>
      <c r="W137" s="146"/>
      <c r="X137" s="146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</row>
    <row r="138" spans="1:60" ht="12.75" outlineLevel="1">
      <c r="A138" s="144"/>
      <c r="B138" s="145"/>
      <c r="C138" s="449"/>
      <c r="D138" s="450"/>
      <c r="E138" s="450"/>
      <c r="F138" s="450"/>
      <c r="G138" s="450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</row>
    <row r="139" spans="1:60" ht="12.75" outlineLevel="1">
      <c r="A139" s="154">
        <v>52</v>
      </c>
      <c r="B139" s="155" t="s">
        <v>126</v>
      </c>
      <c r="C139" s="165" t="s">
        <v>127</v>
      </c>
      <c r="D139" s="156" t="s">
        <v>112</v>
      </c>
      <c r="E139" s="286">
        <v>188</v>
      </c>
      <c r="F139" s="158"/>
      <c r="G139" s="159">
        <f>ROUND(E139*F139,2)</f>
        <v>0</v>
      </c>
      <c r="H139" s="158">
        <v>46.75</v>
      </c>
      <c r="I139" s="159">
        <f>ROUND(E139*H139,2)</f>
        <v>8789</v>
      </c>
      <c r="J139" s="158">
        <v>31.45</v>
      </c>
      <c r="K139" s="159">
        <f>ROUND(E139*J139,2)</f>
        <v>5912.6</v>
      </c>
      <c r="L139" s="159">
        <v>21</v>
      </c>
      <c r="M139" s="159">
        <f>G139*(1+L139/100)</f>
        <v>0</v>
      </c>
      <c r="N139" s="159">
        <v>0</v>
      </c>
      <c r="O139" s="159">
        <f>ROUND(E139*N139,2)</f>
        <v>0</v>
      </c>
      <c r="P139" s="159">
        <v>0</v>
      </c>
      <c r="Q139" s="159">
        <f>ROUND(E139*P139,2)</f>
        <v>0</v>
      </c>
      <c r="R139" s="159" t="s">
        <v>108</v>
      </c>
      <c r="S139" s="221" t="s">
        <v>192</v>
      </c>
      <c r="T139" s="221" t="s">
        <v>192</v>
      </c>
      <c r="U139" s="146">
        <v>0.037</v>
      </c>
      <c r="V139" s="146">
        <f>ROUND(E139*U139,2)</f>
        <v>6.96</v>
      </c>
      <c r="W139" s="146"/>
      <c r="X139" s="146" t="s">
        <v>109</v>
      </c>
      <c r="Y139" s="137"/>
      <c r="Z139" s="137"/>
      <c r="AA139" s="137"/>
      <c r="AB139" s="137"/>
      <c r="AC139" s="137"/>
      <c r="AD139" s="137"/>
      <c r="AE139" s="137"/>
      <c r="AF139" s="137"/>
      <c r="AG139" s="137" t="s">
        <v>110</v>
      </c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</row>
    <row r="140" spans="1:60" ht="12.75" outlineLevel="1">
      <c r="A140" s="144"/>
      <c r="B140" s="145"/>
      <c r="C140" s="445" t="s">
        <v>128</v>
      </c>
      <c r="D140" s="446"/>
      <c r="E140" s="446"/>
      <c r="F140" s="446"/>
      <c r="G140" s="4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37"/>
      <c r="Z140" s="137"/>
      <c r="AA140" s="137"/>
      <c r="AB140" s="137"/>
      <c r="AC140" s="137"/>
      <c r="AD140" s="137"/>
      <c r="AE140" s="137"/>
      <c r="AF140" s="137"/>
      <c r="AG140" s="137" t="s">
        <v>111</v>
      </c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</row>
    <row r="141" spans="1:60" ht="12.75" outlineLevel="1">
      <c r="A141" s="144"/>
      <c r="B141" s="145"/>
      <c r="C141" s="447"/>
      <c r="D141" s="448"/>
      <c r="E141" s="448"/>
      <c r="F141" s="448"/>
      <c r="G141" s="448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37"/>
      <c r="Z141" s="137"/>
      <c r="AA141" s="137"/>
      <c r="AB141" s="137"/>
      <c r="AC141" s="137"/>
      <c r="AD141" s="137"/>
      <c r="AE141" s="137"/>
      <c r="AF141" s="137"/>
      <c r="AG141" s="137" t="s">
        <v>93</v>
      </c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</row>
    <row r="142" spans="1:60" s="261" customFormat="1" ht="22.5" outlineLevel="1">
      <c r="A142" s="277">
        <v>53</v>
      </c>
      <c r="B142" s="278" t="s">
        <v>242</v>
      </c>
      <c r="C142" s="285" t="s">
        <v>249</v>
      </c>
      <c r="D142" s="279" t="s">
        <v>112</v>
      </c>
      <c r="E142" s="286">
        <v>19</v>
      </c>
      <c r="F142" s="281"/>
      <c r="G142" s="282">
        <f>ROUND(E142*F142,2)</f>
        <v>0</v>
      </c>
      <c r="H142" s="281">
        <v>320.33</v>
      </c>
      <c r="I142" s="282">
        <f>ROUND(E142*H142,2)</f>
        <v>6086.27</v>
      </c>
      <c r="J142" s="281">
        <v>128.17</v>
      </c>
      <c r="K142" s="282">
        <f>ROUND(E142*J142,2)</f>
        <v>2435.23</v>
      </c>
      <c r="L142" s="282">
        <v>21</v>
      </c>
      <c r="M142" s="282">
        <f>G142*(1+L142/100)</f>
        <v>0</v>
      </c>
      <c r="N142" s="282">
        <v>0.26981</v>
      </c>
      <c r="O142" s="282">
        <f>ROUND(E142*N142,2)</f>
        <v>5.13</v>
      </c>
      <c r="P142" s="282">
        <v>0</v>
      </c>
      <c r="Q142" s="282">
        <f>ROUND(E142*P142,2)</f>
        <v>0</v>
      </c>
      <c r="R142" s="282" t="s">
        <v>108</v>
      </c>
      <c r="S142" s="282" t="s">
        <v>192</v>
      </c>
      <c r="T142" s="282" t="s">
        <v>192</v>
      </c>
      <c r="U142" s="269"/>
      <c r="V142" s="269"/>
      <c r="W142" s="269"/>
      <c r="X142" s="269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266"/>
      <c r="AI142" s="266"/>
      <c r="AJ142" s="266"/>
      <c r="AK142" s="266"/>
      <c r="AL142" s="266"/>
      <c r="AM142" s="266"/>
      <c r="AN142" s="266"/>
      <c r="AO142" s="266"/>
      <c r="AP142" s="266"/>
      <c r="AQ142" s="266"/>
      <c r="AR142" s="266"/>
      <c r="AS142" s="266"/>
      <c r="AT142" s="266"/>
      <c r="AU142" s="266"/>
      <c r="AV142" s="266"/>
      <c r="AW142" s="266"/>
      <c r="AX142" s="266"/>
      <c r="AY142" s="266"/>
      <c r="AZ142" s="266"/>
      <c r="BA142" s="266"/>
      <c r="BB142" s="266"/>
      <c r="BC142" s="266"/>
      <c r="BD142" s="266"/>
      <c r="BE142" s="266"/>
      <c r="BF142" s="266"/>
      <c r="BG142" s="266"/>
      <c r="BH142" s="266"/>
    </row>
    <row r="143" spans="1:60" s="261" customFormat="1" ht="12.75" outlineLevel="1">
      <c r="A143" s="267"/>
      <c r="B143" s="268"/>
      <c r="C143" s="445" t="s">
        <v>252</v>
      </c>
      <c r="D143" s="446"/>
      <c r="E143" s="446"/>
      <c r="F143" s="446"/>
      <c r="G143" s="446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6"/>
      <c r="Z143" s="266"/>
      <c r="AA143" s="266"/>
      <c r="AB143" s="266"/>
      <c r="AC143" s="266"/>
      <c r="AD143" s="266"/>
      <c r="AE143" s="266"/>
      <c r="AF143" s="266"/>
      <c r="AG143" s="266"/>
      <c r="AH143" s="266"/>
      <c r="AI143" s="266"/>
      <c r="AJ143" s="266"/>
      <c r="AK143" s="266"/>
      <c r="AL143" s="266"/>
      <c r="AM143" s="266"/>
      <c r="AN143" s="266"/>
      <c r="AO143" s="266"/>
      <c r="AP143" s="266"/>
      <c r="AQ143" s="266"/>
      <c r="AR143" s="266"/>
      <c r="AS143" s="266"/>
      <c r="AT143" s="266"/>
      <c r="AU143" s="266"/>
      <c r="AV143" s="266"/>
      <c r="AW143" s="266"/>
      <c r="AX143" s="266"/>
      <c r="AY143" s="266"/>
      <c r="AZ143" s="266"/>
      <c r="BA143" s="266"/>
      <c r="BB143" s="266"/>
      <c r="BC143" s="266"/>
      <c r="BD143" s="266"/>
      <c r="BE143" s="266"/>
      <c r="BF143" s="266"/>
      <c r="BG143" s="266"/>
      <c r="BH143" s="266"/>
    </row>
    <row r="144" spans="1:60" s="261" customFormat="1" ht="12.75" outlineLevel="1">
      <c r="A144" s="267"/>
      <c r="B144" s="268"/>
      <c r="C144" s="447"/>
      <c r="D144" s="448"/>
      <c r="E144" s="448"/>
      <c r="F144" s="448"/>
      <c r="G144" s="448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6"/>
      <c r="Z144" s="266"/>
      <c r="AA144" s="266"/>
      <c r="AB144" s="266"/>
      <c r="AC144" s="266"/>
      <c r="AD144" s="266"/>
      <c r="AE144" s="266"/>
      <c r="AF144" s="266"/>
      <c r="AG144" s="266"/>
      <c r="AH144" s="266"/>
      <c r="AI144" s="266"/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6"/>
      <c r="AZ144" s="266"/>
      <c r="BA144" s="266"/>
      <c r="BB144" s="266"/>
      <c r="BC144" s="266"/>
      <c r="BD144" s="266"/>
      <c r="BE144" s="266"/>
      <c r="BF144" s="266"/>
      <c r="BG144" s="266"/>
      <c r="BH144" s="266"/>
    </row>
    <row r="145" spans="1:60" s="261" customFormat="1" ht="22.5" outlineLevel="1">
      <c r="A145" s="277">
        <v>54</v>
      </c>
      <c r="B145" s="278" t="s">
        <v>96</v>
      </c>
      <c r="C145" s="285" t="s">
        <v>250</v>
      </c>
      <c r="D145" s="279" t="s">
        <v>95</v>
      </c>
      <c r="E145" s="280">
        <f>E142-E147</f>
        <v>17</v>
      </c>
      <c r="F145" s="281"/>
      <c r="G145" s="282">
        <f>ROUND(E145*F145,2)</f>
        <v>0</v>
      </c>
      <c r="H145" s="281">
        <v>154</v>
      </c>
      <c r="I145" s="282">
        <f>ROUND(E145*H145,2)</f>
        <v>2618</v>
      </c>
      <c r="J145" s="281">
        <v>0</v>
      </c>
      <c r="K145" s="282">
        <f>ROUND(E145*J145,2)</f>
        <v>0</v>
      </c>
      <c r="L145" s="282">
        <v>21</v>
      </c>
      <c r="M145" s="282">
        <f>G145*(1+L145/100)</f>
        <v>0</v>
      </c>
      <c r="N145" s="282">
        <v>0.08197</v>
      </c>
      <c r="O145" s="282">
        <f>ROUND(E145*N145,2)</f>
        <v>1.39</v>
      </c>
      <c r="P145" s="282">
        <v>0</v>
      </c>
      <c r="Q145" s="282">
        <f>ROUND(E145*P145,2)</f>
        <v>0</v>
      </c>
      <c r="R145" s="282" t="s">
        <v>94</v>
      </c>
      <c r="S145" s="282" t="s">
        <v>192</v>
      </c>
      <c r="T145" s="282" t="s">
        <v>100</v>
      </c>
      <c r="U145" s="269"/>
      <c r="V145" s="269"/>
      <c r="W145" s="269"/>
      <c r="X145" s="269"/>
      <c r="Y145" s="266"/>
      <c r="Z145" s="266"/>
      <c r="AA145" s="266"/>
      <c r="AB145" s="266"/>
      <c r="AC145" s="266"/>
      <c r="AD145" s="266"/>
      <c r="AE145" s="266"/>
      <c r="AF145" s="266"/>
      <c r="AG145" s="266"/>
      <c r="AH145" s="266"/>
      <c r="AI145" s="266"/>
      <c r="AJ145" s="266"/>
      <c r="AK145" s="266"/>
      <c r="AL145" s="266"/>
      <c r="AM145" s="266"/>
      <c r="AN145" s="266"/>
      <c r="AO145" s="266"/>
      <c r="AP145" s="266"/>
      <c r="AQ145" s="266"/>
      <c r="AR145" s="266"/>
      <c r="AS145" s="266"/>
      <c r="AT145" s="266"/>
      <c r="AU145" s="266"/>
      <c r="AV145" s="266"/>
      <c r="AW145" s="266"/>
      <c r="AX145" s="266"/>
      <c r="AY145" s="266"/>
      <c r="AZ145" s="266"/>
      <c r="BA145" s="266"/>
      <c r="BB145" s="266"/>
      <c r="BC145" s="266"/>
      <c r="BD145" s="266"/>
      <c r="BE145" s="266"/>
      <c r="BF145" s="266"/>
      <c r="BG145" s="266"/>
      <c r="BH145" s="266"/>
    </row>
    <row r="146" spans="1:60" s="261" customFormat="1" ht="12.75" outlineLevel="1">
      <c r="A146" s="267"/>
      <c r="B146" s="268"/>
      <c r="C146" s="302"/>
      <c r="D146" s="303"/>
      <c r="E146" s="303"/>
      <c r="F146" s="303"/>
      <c r="G146" s="303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6"/>
      <c r="Z146" s="266"/>
      <c r="AA146" s="266"/>
      <c r="AB146" s="266"/>
      <c r="AC146" s="266"/>
      <c r="AD146" s="266"/>
      <c r="AE146" s="266"/>
      <c r="AF146" s="266"/>
      <c r="AG146" s="266"/>
      <c r="AH146" s="266"/>
      <c r="AI146" s="266"/>
      <c r="AJ146" s="266"/>
      <c r="AK146" s="266"/>
      <c r="AL146" s="266"/>
      <c r="AM146" s="266"/>
      <c r="AN146" s="266"/>
      <c r="AO146" s="266"/>
      <c r="AP146" s="266"/>
      <c r="AQ146" s="266"/>
      <c r="AR146" s="266"/>
      <c r="AS146" s="266"/>
      <c r="AT146" s="266"/>
      <c r="AU146" s="266"/>
      <c r="AV146" s="266"/>
      <c r="AW146" s="266"/>
      <c r="AX146" s="266"/>
      <c r="AY146" s="266"/>
      <c r="AZ146" s="266"/>
      <c r="BA146" s="266"/>
      <c r="BB146" s="266"/>
      <c r="BC146" s="266"/>
      <c r="BD146" s="266"/>
      <c r="BE146" s="266"/>
      <c r="BF146" s="266"/>
      <c r="BG146" s="266"/>
      <c r="BH146" s="266"/>
    </row>
    <row r="147" spans="1:60" s="261" customFormat="1" ht="22.5" outlineLevel="1">
      <c r="A147" s="277">
        <v>55</v>
      </c>
      <c r="B147" s="278" t="s">
        <v>96</v>
      </c>
      <c r="C147" s="285" t="s">
        <v>251</v>
      </c>
      <c r="D147" s="279" t="s">
        <v>95</v>
      </c>
      <c r="E147" s="280">
        <v>2</v>
      </c>
      <c r="F147" s="281"/>
      <c r="G147" s="282">
        <f>ROUND(E147*F147,2)</f>
        <v>0</v>
      </c>
      <c r="H147" s="281">
        <v>154</v>
      </c>
      <c r="I147" s="282">
        <f>ROUND(E147*H147,2)</f>
        <v>308</v>
      </c>
      <c r="J147" s="281">
        <v>0</v>
      </c>
      <c r="K147" s="282">
        <f>ROUND(E147*J147,2)</f>
        <v>0</v>
      </c>
      <c r="L147" s="282">
        <v>21</v>
      </c>
      <c r="M147" s="282">
        <f>G147*(1+L147/100)</f>
        <v>0</v>
      </c>
      <c r="N147" s="282">
        <v>0.08197</v>
      </c>
      <c r="O147" s="282">
        <f>ROUND(E147*N147,2)</f>
        <v>0.16</v>
      </c>
      <c r="P147" s="282">
        <v>0</v>
      </c>
      <c r="Q147" s="282">
        <f>ROUND(E147*P147,2)</f>
        <v>0</v>
      </c>
      <c r="R147" s="282" t="s">
        <v>94</v>
      </c>
      <c r="S147" s="282" t="s">
        <v>192</v>
      </c>
      <c r="T147" s="282" t="s">
        <v>100</v>
      </c>
      <c r="U147" s="269"/>
      <c r="V147" s="269"/>
      <c r="W147" s="269"/>
      <c r="X147" s="269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66"/>
      <c r="AU147" s="266"/>
      <c r="AV147" s="266"/>
      <c r="AW147" s="266"/>
      <c r="AX147" s="266"/>
      <c r="AY147" s="266"/>
      <c r="AZ147" s="266"/>
      <c r="BA147" s="266"/>
      <c r="BB147" s="266"/>
      <c r="BC147" s="266"/>
      <c r="BD147" s="266"/>
      <c r="BE147" s="266"/>
      <c r="BF147" s="266"/>
      <c r="BG147" s="266"/>
      <c r="BH147" s="266"/>
    </row>
    <row r="148" spans="1:60" s="261" customFormat="1" ht="12.75" outlineLevel="1">
      <c r="A148" s="267"/>
      <c r="B148" s="268"/>
      <c r="C148" s="302"/>
      <c r="D148" s="303"/>
      <c r="E148" s="303"/>
      <c r="F148" s="303"/>
      <c r="G148" s="303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6"/>
      <c r="Z148" s="2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66"/>
      <c r="AN148" s="266"/>
      <c r="AO148" s="266"/>
      <c r="AP148" s="266"/>
      <c r="AQ148" s="266"/>
      <c r="AR148" s="266"/>
      <c r="AS148" s="266"/>
      <c r="AT148" s="266"/>
      <c r="AU148" s="266"/>
      <c r="AV148" s="266"/>
      <c r="AW148" s="266"/>
      <c r="AX148" s="266"/>
      <c r="AY148" s="266"/>
      <c r="AZ148" s="266"/>
      <c r="BA148" s="266"/>
      <c r="BB148" s="266"/>
      <c r="BC148" s="266"/>
      <c r="BD148" s="266"/>
      <c r="BE148" s="266"/>
      <c r="BF148" s="266"/>
      <c r="BG148" s="266"/>
      <c r="BH148" s="266"/>
    </row>
    <row r="149" spans="1:60" ht="12.75" outlineLevel="1">
      <c r="A149" s="148" t="s">
        <v>91</v>
      </c>
      <c r="B149" s="149" t="s">
        <v>170</v>
      </c>
      <c r="C149" s="164" t="s">
        <v>171</v>
      </c>
      <c r="D149" s="150"/>
      <c r="E149" s="151"/>
      <c r="F149" s="152"/>
      <c r="G149" s="152">
        <f>G150</f>
        <v>0</v>
      </c>
      <c r="H149" s="152"/>
      <c r="I149" s="152" t="e">
        <f>SUM(#REF!)</f>
        <v>#REF!</v>
      </c>
      <c r="J149" s="152"/>
      <c r="K149" s="152" t="e">
        <f>SUM(#REF!)</f>
        <v>#REF!</v>
      </c>
      <c r="L149" s="152"/>
      <c r="M149" s="152">
        <f>M150</f>
        <v>0</v>
      </c>
      <c r="N149" s="152"/>
      <c r="O149" s="152" t="e">
        <f>SUM(#REF!)</f>
        <v>#REF!</v>
      </c>
      <c r="P149" s="152"/>
      <c r="Q149" s="152" t="e">
        <f>SUM(#REF!)</f>
        <v>#REF!</v>
      </c>
      <c r="R149" s="152"/>
      <c r="S149" s="152"/>
      <c r="T149" s="153"/>
      <c r="U149" s="146"/>
      <c r="V149" s="146"/>
      <c r="W149" s="146"/>
      <c r="X149" s="146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</row>
    <row r="150" spans="1:60" s="211" customFormat="1" ht="12.75" outlineLevel="1">
      <c r="A150" s="250">
        <v>56</v>
      </c>
      <c r="B150" s="256" t="s">
        <v>218</v>
      </c>
      <c r="C150" s="257" t="s">
        <v>217</v>
      </c>
      <c r="D150" s="251" t="s">
        <v>112</v>
      </c>
      <c r="E150" s="260">
        <f>E139</f>
        <v>188</v>
      </c>
      <c r="F150" s="252"/>
      <c r="G150" s="253">
        <f>E150*F150</f>
        <v>0</v>
      </c>
      <c r="H150" s="252">
        <v>5.52</v>
      </c>
      <c r="I150" s="253">
        <v>5.52</v>
      </c>
      <c r="J150" s="252">
        <v>183.48</v>
      </c>
      <c r="K150" s="253">
        <v>183.48</v>
      </c>
      <c r="L150" s="253">
        <v>21</v>
      </c>
      <c r="M150" s="253">
        <f>G150*1.21</f>
        <v>0</v>
      </c>
      <c r="N150" s="253">
        <v>0.00468</v>
      </c>
      <c r="O150" s="253">
        <v>0</v>
      </c>
      <c r="P150" s="253">
        <v>0</v>
      </c>
      <c r="Q150" s="253">
        <v>0</v>
      </c>
      <c r="R150" s="253" t="s">
        <v>172</v>
      </c>
      <c r="S150" s="253" t="s">
        <v>192</v>
      </c>
      <c r="T150" s="253" t="s">
        <v>100</v>
      </c>
      <c r="U150" s="244"/>
      <c r="V150" s="244"/>
      <c r="W150" s="244"/>
      <c r="X150" s="244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s="211" customFormat="1" ht="12.75" outlineLevel="1">
      <c r="A151" s="247"/>
      <c r="B151" s="248"/>
      <c r="C151" s="254"/>
      <c r="D151" s="255"/>
      <c r="E151" s="255"/>
      <c r="F151" s="255"/>
      <c r="G151" s="255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44"/>
      <c r="V151" s="244"/>
      <c r="W151" s="244"/>
      <c r="X151" s="244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33" ht="12.75">
      <c r="A152" s="148" t="s">
        <v>91</v>
      </c>
      <c r="B152" s="149" t="s">
        <v>58</v>
      </c>
      <c r="C152" s="164" t="s">
        <v>59</v>
      </c>
      <c r="D152" s="150"/>
      <c r="E152" s="151"/>
      <c r="F152" s="152"/>
      <c r="G152" s="152">
        <f>SUMIF(AG153:AG158,"&lt;&gt;NOR",G153:G158)</f>
        <v>0</v>
      </c>
      <c r="H152" s="152"/>
      <c r="I152" s="152">
        <f>SUM(I153:I158)</f>
        <v>0</v>
      </c>
      <c r="J152" s="152"/>
      <c r="K152" s="152">
        <f>SUM(K153:K158)</f>
        <v>28489.199999999997</v>
      </c>
      <c r="L152" s="152"/>
      <c r="M152" s="152">
        <f>SUM(M153:M158)</f>
        <v>0</v>
      </c>
      <c r="N152" s="152"/>
      <c r="O152" s="152">
        <f>SUM(O153:O158)</f>
        <v>0</v>
      </c>
      <c r="P152" s="152"/>
      <c r="Q152" s="152">
        <f>SUM(Q153:Q158)</f>
        <v>0</v>
      </c>
      <c r="R152" s="152"/>
      <c r="S152" s="152"/>
      <c r="T152" s="153"/>
      <c r="U152" s="147"/>
      <c r="V152" s="147">
        <f>SUM(V153:V158)</f>
        <v>17.169999999999998</v>
      </c>
      <c r="W152" s="147"/>
      <c r="X152" s="147"/>
      <c r="AG152" t="s">
        <v>92</v>
      </c>
    </row>
    <row r="153" spans="1:60" ht="12.75" outlineLevel="1">
      <c r="A153" s="154">
        <v>57</v>
      </c>
      <c r="B153" s="155" t="s">
        <v>147</v>
      </c>
      <c r="C153" s="165" t="s">
        <v>131</v>
      </c>
      <c r="D153" s="156" t="s">
        <v>124</v>
      </c>
      <c r="E153" s="286">
        <f>E133*0.08+E142*0.15+E125*0.065+E118*0.15*0.15*1.5*2+E75*1.1*0.06*2</f>
        <v>43.2265</v>
      </c>
      <c r="F153" s="158"/>
      <c r="G153" s="159">
        <f>ROUND(E153*F153,2)</f>
        <v>0</v>
      </c>
      <c r="H153" s="158">
        <v>0</v>
      </c>
      <c r="I153" s="159">
        <f>ROUND(E153*H153,2)</f>
        <v>0</v>
      </c>
      <c r="J153" s="158">
        <v>225.5</v>
      </c>
      <c r="K153" s="159">
        <f>ROUND(E153*J153,2)</f>
        <v>9747.58</v>
      </c>
      <c r="L153" s="159">
        <v>21</v>
      </c>
      <c r="M153" s="159">
        <f>G153*(1+L153/100)</f>
        <v>0</v>
      </c>
      <c r="N153" s="159">
        <v>0</v>
      </c>
      <c r="O153" s="159">
        <f>ROUND(E153*N153,2)</f>
        <v>0</v>
      </c>
      <c r="P153" s="159">
        <v>0</v>
      </c>
      <c r="Q153" s="159">
        <f>ROUND(E153*P153,2)</f>
        <v>0</v>
      </c>
      <c r="R153" s="159" t="s">
        <v>108</v>
      </c>
      <c r="S153" s="221" t="s">
        <v>192</v>
      </c>
      <c r="T153" s="221" t="s">
        <v>192</v>
      </c>
      <c r="U153" s="146">
        <v>0.39</v>
      </c>
      <c r="V153" s="146">
        <f>ROUND(E153*U153,2)</f>
        <v>16.86</v>
      </c>
      <c r="W153" s="146"/>
      <c r="X153" s="146" t="s">
        <v>129</v>
      </c>
      <c r="Y153" s="137"/>
      <c r="Z153" s="137"/>
      <c r="AA153" s="137"/>
      <c r="AB153" s="137"/>
      <c r="AC153" s="137"/>
      <c r="AD153" s="137"/>
      <c r="AE153" s="137"/>
      <c r="AF153" s="137"/>
      <c r="AG153" s="137" t="s">
        <v>130</v>
      </c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</row>
    <row r="154" spans="1:60" ht="12.75" outlineLevel="1">
      <c r="A154" s="144"/>
      <c r="B154" s="145"/>
      <c r="C154" s="447"/>
      <c r="D154" s="448"/>
      <c r="E154" s="448"/>
      <c r="F154" s="448"/>
      <c r="G154" s="448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37"/>
      <c r="Z154" s="137"/>
      <c r="AA154" s="137"/>
      <c r="AB154" s="137"/>
      <c r="AC154" s="137"/>
      <c r="AD154" s="137"/>
      <c r="AE154" s="137"/>
      <c r="AF154" s="137"/>
      <c r="AG154" s="137" t="s">
        <v>93</v>
      </c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</row>
    <row r="155" spans="1:60" ht="12.75" outlineLevel="1">
      <c r="A155" s="154">
        <v>58</v>
      </c>
      <c r="B155" s="155" t="s">
        <v>173</v>
      </c>
      <c r="C155" s="165" t="s">
        <v>174</v>
      </c>
      <c r="D155" s="156" t="s">
        <v>124</v>
      </c>
      <c r="E155" s="286">
        <f>E63*1.8+E65*0.2*2+E67*0.2*2+E69*0.12*2.2+E71*0.21*2.2</f>
        <v>246.454</v>
      </c>
      <c r="F155" s="158"/>
      <c r="G155" s="159">
        <f>ROUND(E155*F155,2)</f>
        <v>0</v>
      </c>
      <c r="H155" s="158">
        <v>0</v>
      </c>
      <c r="I155" s="159">
        <f>ROUND(E155*H155,2)</f>
        <v>0</v>
      </c>
      <c r="J155" s="158">
        <v>71.2</v>
      </c>
      <c r="K155" s="159">
        <f>ROUND(E155*J155,2)</f>
        <v>17547.52</v>
      </c>
      <c r="L155" s="159">
        <v>21</v>
      </c>
      <c r="M155" s="159">
        <f>G155*(1+L155/100)</f>
        <v>0</v>
      </c>
      <c r="N155" s="159">
        <v>0</v>
      </c>
      <c r="O155" s="159">
        <f>ROUND(E155*N155,2)</f>
        <v>0</v>
      </c>
      <c r="P155" s="159">
        <v>0</v>
      </c>
      <c r="Q155" s="159">
        <f>ROUND(E155*P155,2)</f>
        <v>0</v>
      </c>
      <c r="R155" s="159" t="s">
        <v>108</v>
      </c>
      <c r="S155" s="221" t="s">
        <v>192</v>
      </c>
      <c r="T155" s="221" t="s">
        <v>192</v>
      </c>
      <c r="U155" s="146"/>
      <c r="V155" s="146"/>
      <c r="W155" s="146"/>
      <c r="X155" s="146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</row>
    <row r="156" spans="1:60" ht="12.75" outlineLevel="1">
      <c r="A156" s="144"/>
      <c r="B156" s="145"/>
      <c r="C156" s="447"/>
      <c r="D156" s="448"/>
      <c r="E156" s="448"/>
      <c r="F156" s="448"/>
      <c r="G156" s="448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</row>
    <row r="157" spans="1:60" ht="12.75" outlineLevel="1">
      <c r="A157" s="154">
        <v>59</v>
      </c>
      <c r="B157" s="155" t="s">
        <v>148</v>
      </c>
      <c r="C157" s="165" t="s">
        <v>196</v>
      </c>
      <c r="D157" s="156" t="s">
        <v>124</v>
      </c>
      <c r="E157" s="157">
        <f>E73*0.05*2.53</f>
        <v>19.607499999999998</v>
      </c>
      <c r="F157" s="158"/>
      <c r="G157" s="159">
        <f>ROUND(E157*F157,2)</f>
        <v>0</v>
      </c>
      <c r="H157" s="158">
        <v>0</v>
      </c>
      <c r="I157" s="159">
        <f>ROUND(E157*H157,2)</f>
        <v>0</v>
      </c>
      <c r="J157" s="158">
        <v>60.9</v>
      </c>
      <c r="K157" s="159">
        <f>ROUND(E157*J157,2)</f>
        <v>1194.1</v>
      </c>
      <c r="L157" s="159">
        <v>21</v>
      </c>
      <c r="M157" s="159">
        <f>G157*(1+L157/100)</f>
        <v>0</v>
      </c>
      <c r="N157" s="159">
        <v>0</v>
      </c>
      <c r="O157" s="159">
        <f>ROUND(E157*N157,2)</f>
        <v>0</v>
      </c>
      <c r="P157" s="159">
        <v>0</v>
      </c>
      <c r="Q157" s="159">
        <f>ROUND(E157*P157,2)</f>
        <v>0</v>
      </c>
      <c r="R157" s="159" t="s">
        <v>108</v>
      </c>
      <c r="S157" s="221" t="s">
        <v>192</v>
      </c>
      <c r="T157" s="221" t="s">
        <v>192</v>
      </c>
      <c r="U157" s="146">
        <v>0.016</v>
      </c>
      <c r="V157" s="146">
        <f>ROUND(E157*U157,2)</f>
        <v>0.31</v>
      </c>
      <c r="W157" s="146"/>
      <c r="X157" s="146" t="s">
        <v>129</v>
      </c>
      <c r="Y157" s="137"/>
      <c r="Z157" s="137"/>
      <c r="AA157" s="137"/>
      <c r="AB157" s="137"/>
      <c r="AC157" s="137"/>
      <c r="AD157" s="137"/>
      <c r="AE157" s="137"/>
      <c r="AF157" s="137"/>
      <c r="AG157" s="137" t="s">
        <v>130</v>
      </c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</row>
    <row r="158" spans="1:60" ht="12.75" outlineLevel="1">
      <c r="A158" s="144"/>
      <c r="B158" s="145"/>
      <c r="C158" s="447"/>
      <c r="D158" s="448"/>
      <c r="E158" s="448"/>
      <c r="F158" s="448"/>
      <c r="G158" s="448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37"/>
      <c r="Z158" s="137"/>
      <c r="AA158" s="137"/>
      <c r="AB158" s="137"/>
      <c r="AC158" s="137"/>
      <c r="AD158" s="137"/>
      <c r="AE158" s="137"/>
      <c r="AF158" s="137"/>
      <c r="AG158" s="137" t="s">
        <v>93</v>
      </c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</row>
    <row r="159" spans="1:60" s="261" customFormat="1" ht="12.75" outlineLevel="1">
      <c r="A159" s="271" t="s">
        <v>91</v>
      </c>
      <c r="B159" s="272" t="s">
        <v>214</v>
      </c>
      <c r="C159" s="284" t="s">
        <v>215</v>
      </c>
      <c r="D159" s="273"/>
      <c r="E159" s="274"/>
      <c r="F159" s="275"/>
      <c r="G159" s="275">
        <f>SUMIF(AG160:AG161,"&lt;&gt;NOR",G160:G161)</f>
        <v>0</v>
      </c>
      <c r="H159" s="275"/>
      <c r="I159" s="275">
        <f>SUM(I160:I161)</f>
        <v>634.17</v>
      </c>
      <c r="J159" s="275"/>
      <c r="K159" s="275">
        <f>SUM(K160:K161)</f>
        <v>811.08</v>
      </c>
      <c r="L159" s="275"/>
      <c r="M159" s="275">
        <f>SUM(M160:M161)</f>
        <v>0</v>
      </c>
      <c r="N159" s="275"/>
      <c r="O159" s="275">
        <f>SUM(O160:O161)</f>
        <v>0</v>
      </c>
      <c r="P159" s="275"/>
      <c r="Q159" s="275">
        <f>SUM(Q160:Q161)</f>
        <v>0</v>
      </c>
      <c r="R159" s="275"/>
      <c r="S159" s="275"/>
      <c r="T159" s="276"/>
      <c r="U159" s="269"/>
      <c r="V159" s="269"/>
      <c r="W159" s="269"/>
      <c r="X159" s="269"/>
      <c r="Y159" s="266"/>
      <c r="Z159" s="266"/>
      <c r="AA159" s="266"/>
      <c r="AB159" s="266"/>
      <c r="AC159" s="266"/>
      <c r="AD159" s="266"/>
      <c r="AE159" s="266"/>
      <c r="AF159" s="266"/>
      <c r="AG159" s="266"/>
      <c r="AH159" s="266"/>
      <c r="AI159" s="266"/>
      <c r="AJ159" s="266"/>
      <c r="AK159" s="266"/>
      <c r="AL159" s="266"/>
      <c r="AM159" s="266"/>
      <c r="AN159" s="266"/>
      <c r="AO159" s="266"/>
      <c r="AP159" s="266"/>
      <c r="AQ159" s="266"/>
      <c r="AR159" s="266"/>
      <c r="AS159" s="266"/>
      <c r="AT159" s="266"/>
      <c r="AU159" s="266"/>
      <c r="AV159" s="266"/>
      <c r="AW159" s="266"/>
      <c r="AX159" s="266"/>
      <c r="AY159" s="266"/>
      <c r="AZ159" s="266"/>
      <c r="BA159" s="266"/>
      <c r="BB159" s="266"/>
      <c r="BC159" s="266"/>
      <c r="BD159" s="266"/>
      <c r="BE159" s="266"/>
      <c r="BF159" s="266"/>
      <c r="BG159" s="266"/>
      <c r="BH159" s="266"/>
    </row>
    <row r="160" spans="1:60" s="261" customFormat="1" ht="12.75" outlineLevel="1">
      <c r="A160" s="329">
        <v>60</v>
      </c>
      <c r="B160" s="342" t="s">
        <v>280</v>
      </c>
      <c r="C160" s="343" t="s">
        <v>281</v>
      </c>
      <c r="D160" s="344" t="s">
        <v>97</v>
      </c>
      <c r="E160" s="345">
        <f>41*0.25</f>
        <v>10.25</v>
      </c>
      <c r="F160" s="312"/>
      <c r="G160" s="346">
        <f>ROUND(E160*F160,2)</f>
        <v>0</v>
      </c>
      <c r="H160" s="347">
        <v>61.87</v>
      </c>
      <c r="I160" s="346">
        <f>ROUND(E160*H160,2)</f>
        <v>634.17</v>
      </c>
      <c r="J160" s="347">
        <v>79.13</v>
      </c>
      <c r="K160" s="346">
        <f>ROUND(E160*J160,2)</f>
        <v>811.08</v>
      </c>
      <c r="L160" s="346">
        <v>21</v>
      </c>
      <c r="M160" s="346">
        <f>G160*(1+L160/100)</f>
        <v>0</v>
      </c>
      <c r="N160" s="346">
        <v>0.00017</v>
      </c>
      <c r="O160" s="346">
        <f>ROUND(E160*N160,2)</f>
        <v>0</v>
      </c>
      <c r="P160" s="346">
        <v>0</v>
      </c>
      <c r="Q160" s="346">
        <f>ROUND(E160*P160,2)</f>
        <v>0</v>
      </c>
      <c r="R160" s="346" t="s">
        <v>216</v>
      </c>
      <c r="S160" s="346" t="s">
        <v>272</v>
      </c>
      <c r="T160" s="348" t="s">
        <v>272</v>
      </c>
      <c r="U160" s="269"/>
      <c r="V160" s="269"/>
      <c r="W160" s="269"/>
      <c r="X160" s="269"/>
      <c r="Y160" s="266"/>
      <c r="Z160" s="266"/>
      <c r="AA160" s="266"/>
      <c r="AB160" s="266"/>
      <c r="AC160" s="266"/>
      <c r="AD160" s="266"/>
      <c r="AE160" s="266"/>
      <c r="AF160" s="266"/>
      <c r="AG160" s="266"/>
      <c r="AH160" s="266"/>
      <c r="AI160" s="266"/>
      <c r="AJ160" s="266"/>
      <c r="AK160" s="266"/>
      <c r="AL160" s="266"/>
      <c r="AM160" s="266"/>
      <c r="AN160" s="266"/>
      <c r="AO160" s="266"/>
      <c r="AP160" s="266"/>
      <c r="AQ160" s="266"/>
      <c r="AR160" s="266"/>
      <c r="AS160" s="266"/>
      <c r="AT160" s="266"/>
      <c r="AU160" s="266"/>
      <c r="AV160" s="266"/>
      <c r="AW160" s="266"/>
      <c r="AX160" s="266"/>
      <c r="AY160" s="266"/>
      <c r="AZ160" s="266"/>
      <c r="BA160" s="266"/>
      <c r="BB160" s="266"/>
      <c r="BC160" s="266"/>
      <c r="BD160" s="266"/>
      <c r="BE160" s="266"/>
      <c r="BF160" s="266"/>
      <c r="BG160" s="266"/>
      <c r="BH160" s="266"/>
    </row>
    <row r="161" spans="1:60" s="261" customFormat="1" ht="12.75" outlineLevel="1">
      <c r="A161" s="267"/>
      <c r="B161" s="268"/>
      <c r="C161" s="449"/>
      <c r="D161" s="450"/>
      <c r="E161" s="450"/>
      <c r="F161" s="450"/>
      <c r="G161" s="450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6"/>
      <c r="Z161" s="266"/>
      <c r="AA161" s="266"/>
      <c r="AB161" s="266"/>
      <c r="AC161" s="266"/>
      <c r="AD161" s="266"/>
      <c r="AE161" s="266"/>
      <c r="AF161" s="266"/>
      <c r="AG161" s="266"/>
      <c r="AH161" s="266"/>
      <c r="AI161" s="266"/>
      <c r="AJ161" s="266"/>
      <c r="AK161" s="266"/>
      <c r="AL161" s="266"/>
      <c r="AM161" s="266"/>
      <c r="AN161" s="266"/>
      <c r="AO161" s="266"/>
      <c r="AP161" s="266"/>
      <c r="AQ161" s="266"/>
      <c r="AR161" s="266"/>
      <c r="AS161" s="266"/>
      <c r="AT161" s="266"/>
      <c r="AU161" s="266"/>
      <c r="AV161" s="266"/>
      <c r="AW161" s="266"/>
      <c r="AX161" s="266"/>
      <c r="AY161" s="266"/>
      <c r="AZ161" s="266"/>
      <c r="BA161" s="266"/>
      <c r="BB161" s="266"/>
      <c r="BC161" s="266"/>
      <c r="BD161" s="266"/>
      <c r="BE161" s="266"/>
      <c r="BF161" s="266"/>
      <c r="BG161" s="266"/>
      <c r="BH161" s="266"/>
    </row>
    <row r="162" spans="1:33" ht="12.75">
      <c r="A162" s="148" t="s">
        <v>91</v>
      </c>
      <c r="B162" s="149" t="s">
        <v>60</v>
      </c>
      <c r="C162" s="164" t="s">
        <v>61</v>
      </c>
      <c r="D162" s="150"/>
      <c r="E162" s="151"/>
      <c r="F162" s="152"/>
      <c r="G162" s="152">
        <f>SUMIF(AG163:AG168,"&lt;&gt;NOR",G163:G168)</f>
        <v>0</v>
      </c>
      <c r="H162" s="152"/>
      <c r="I162" s="152">
        <f>SUM(I163:I168)</f>
        <v>0</v>
      </c>
      <c r="J162" s="152"/>
      <c r="K162" s="152">
        <f>SUM(K163:K168)</f>
        <v>129937.48000000001</v>
      </c>
      <c r="L162" s="152"/>
      <c r="M162" s="152">
        <f>SUM(M163:M168)</f>
        <v>0</v>
      </c>
      <c r="N162" s="152"/>
      <c r="O162" s="152">
        <f>SUM(O163:O168)</f>
        <v>0</v>
      </c>
      <c r="P162" s="152"/>
      <c r="Q162" s="152">
        <f>SUM(Q163:Q168)</f>
        <v>0</v>
      </c>
      <c r="R162" s="152"/>
      <c r="S162" s="152"/>
      <c r="T162" s="153"/>
      <c r="U162" s="147"/>
      <c r="V162" s="147">
        <f>SUM(V163:V168)</f>
        <v>30.07</v>
      </c>
      <c r="W162" s="147"/>
      <c r="X162" s="147"/>
      <c r="Z162" s="84"/>
      <c r="AG162" t="s">
        <v>92</v>
      </c>
    </row>
    <row r="163" spans="1:60" ht="12.75" outlineLevel="1">
      <c r="A163" s="154">
        <v>61</v>
      </c>
      <c r="B163" s="217" t="s">
        <v>197</v>
      </c>
      <c r="C163" s="222" t="s">
        <v>198</v>
      </c>
      <c r="D163" s="156" t="s">
        <v>124</v>
      </c>
      <c r="E163" s="286">
        <f>E9*2+E11*0.1*2.2</f>
        <v>103.33000000000001</v>
      </c>
      <c r="F163" s="158"/>
      <c r="G163" s="159">
        <f>ROUND(E163*F163,2)</f>
        <v>0</v>
      </c>
      <c r="H163" s="158">
        <v>0</v>
      </c>
      <c r="I163" s="159">
        <f>ROUND(E163*H163,2)</f>
        <v>0</v>
      </c>
      <c r="J163" s="158">
        <v>406.5</v>
      </c>
      <c r="K163" s="159">
        <f>ROUND(E163*J163,2)</f>
        <v>42003.65</v>
      </c>
      <c r="L163" s="159">
        <v>21</v>
      </c>
      <c r="M163" s="159">
        <f>G163*(1+L163/100)</f>
        <v>0</v>
      </c>
      <c r="N163" s="159">
        <v>0</v>
      </c>
      <c r="O163" s="159">
        <f>ROUND(E163*N163,2)</f>
        <v>0</v>
      </c>
      <c r="P163" s="159">
        <v>0</v>
      </c>
      <c r="Q163" s="159">
        <f>ROUND(E163*P163,2)</f>
        <v>0</v>
      </c>
      <c r="R163" s="159"/>
      <c r="S163" s="221" t="s">
        <v>192</v>
      </c>
      <c r="T163" s="221" t="s">
        <v>192</v>
      </c>
      <c r="U163" s="146">
        <v>0.291</v>
      </c>
      <c r="V163" s="146">
        <f>ROUND(E163*U163,2)</f>
        <v>30.07</v>
      </c>
      <c r="W163" s="146"/>
      <c r="X163" s="146" t="s">
        <v>132</v>
      </c>
      <c r="Y163" s="173"/>
      <c r="Z163" s="137"/>
      <c r="AA163" s="137"/>
      <c r="AB163" s="137"/>
      <c r="AC163" s="137"/>
      <c r="AD163" s="137"/>
      <c r="AE163" s="137"/>
      <c r="AF163" s="137"/>
      <c r="AG163" s="137" t="s">
        <v>133</v>
      </c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</row>
    <row r="164" spans="1:60" ht="12.75" outlineLevel="1">
      <c r="A164" s="144"/>
      <c r="B164" s="145"/>
      <c r="C164" s="449"/>
      <c r="D164" s="450"/>
      <c r="E164" s="450"/>
      <c r="F164" s="450"/>
      <c r="G164" s="450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37"/>
      <c r="Z164" s="137"/>
      <c r="AA164" s="137"/>
      <c r="AB164" s="137"/>
      <c r="AC164" s="137"/>
      <c r="AD164" s="137"/>
      <c r="AE164" s="137"/>
      <c r="AF164" s="137"/>
      <c r="AG164" s="137" t="s">
        <v>93</v>
      </c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</row>
    <row r="165" spans="1:60" s="211" customFormat="1" ht="12.75" outlineLevel="1">
      <c r="A165" s="216">
        <v>62</v>
      </c>
      <c r="B165" s="217" t="s">
        <v>199</v>
      </c>
      <c r="C165" s="222" t="s">
        <v>200</v>
      </c>
      <c r="D165" s="218" t="s">
        <v>124</v>
      </c>
      <c r="E165" s="219">
        <f>E163*19</f>
        <v>1963.2700000000002</v>
      </c>
      <c r="F165" s="220"/>
      <c r="G165" s="221">
        <f>ROUND(E165*F165,2)</f>
        <v>0</v>
      </c>
      <c r="H165" s="220">
        <v>0</v>
      </c>
      <c r="I165" s="221">
        <f>ROUND(E165*H165,2)</f>
        <v>0</v>
      </c>
      <c r="J165" s="220">
        <v>29</v>
      </c>
      <c r="K165" s="221">
        <f>ROUND(E165*J165,2)</f>
        <v>56934.83</v>
      </c>
      <c r="L165" s="221">
        <v>21</v>
      </c>
      <c r="M165" s="221">
        <f>G165*(1+L165/100)</f>
        <v>0</v>
      </c>
      <c r="N165" s="221">
        <v>0</v>
      </c>
      <c r="O165" s="221">
        <f>ROUND(E165*N165,2)</f>
        <v>0</v>
      </c>
      <c r="P165" s="221">
        <v>0</v>
      </c>
      <c r="Q165" s="242">
        <f>ROUND(E165*P165,2)</f>
        <v>0</v>
      </c>
      <c r="R165" s="221" t="s">
        <v>108</v>
      </c>
      <c r="S165" s="221" t="s">
        <v>192</v>
      </c>
      <c r="T165" s="221" t="s">
        <v>192</v>
      </c>
      <c r="U165" s="215"/>
      <c r="V165" s="215"/>
      <c r="W165" s="215"/>
      <c r="X165" s="215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s="211" customFormat="1" ht="12.75" outlineLevel="1">
      <c r="A166" s="213"/>
      <c r="B166" s="214"/>
      <c r="C166" s="453"/>
      <c r="D166" s="453"/>
      <c r="E166" s="453"/>
      <c r="F166" s="453"/>
      <c r="G166" s="453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ht="12.75" outlineLevel="1">
      <c r="A167" s="154">
        <v>63</v>
      </c>
      <c r="B167" s="155" t="s">
        <v>150</v>
      </c>
      <c r="C167" s="165" t="s">
        <v>149</v>
      </c>
      <c r="D167" s="156" t="s">
        <v>124</v>
      </c>
      <c r="E167" s="157">
        <f>E163</f>
        <v>103.33000000000001</v>
      </c>
      <c r="F167" s="158"/>
      <c r="G167" s="159">
        <f>ROUND(E167*F167,2)</f>
        <v>0</v>
      </c>
      <c r="H167" s="158">
        <v>0</v>
      </c>
      <c r="I167" s="159">
        <f>ROUND(E167*H167,2)</f>
        <v>0</v>
      </c>
      <c r="J167" s="158">
        <v>300</v>
      </c>
      <c r="K167" s="159">
        <f>ROUND(E167*J167,2)</f>
        <v>30999</v>
      </c>
      <c r="L167" s="159">
        <v>21</v>
      </c>
      <c r="M167" s="159">
        <f>G167*(1+L167/100)</f>
        <v>0</v>
      </c>
      <c r="N167" s="159">
        <v>0</v>
      </c>
      <c r="O167" s="159">
        <f>ROUND(E167*N167,2)</f>
        <v>0</v>
      </c>
      <c r="P167" s="159">
        <v>0</v>
      </c>
      <c r="Q167" s="159">
        <f>ROUND(E167*P167,2)</f>
        <v>0</v>
      </c>
      <c r="R167" s="159" t="s">
        <v>134</v>
      </c>
      <c r="S167" s="221" t="s">
        <v>192</v>
      </c>
      <c r="T167" s="221" t="s">
        <v>192</v>
      </c>
      <c r="U167" s="146">
        <v>0</v>
      </c>
      <c r="V167" s="146">
        <f>ROUND(E167*U167,2)</f>
        <v>0</v>
      </c>
      <c r="W167" s="146"/>
      <c r="X167" s="146" t="s">
        <v>132</v>
      </c>
      <c r="Y167" s="137"/>
      <c r="Z167" s="137"/>
      <c r="AA167" s="137"/>
      <c r="AB167" s="137"/>
      <c r="AC167" s="137"/>
      <c r="AD167" s="137"/>
      <c r="AE167" s="137"/>
      <c r="AF167" s="137"/>
      <c r="AG167" s="137" t="s">
        <v>133</v>
      </c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</row>
    <row r="168" spans="1:60" ht="12.75" outlineLevel="1">
      <c r="A168" s="144"/>
      <c r="B168" s="145"/>
      <c r="C168" s="449"/>
      <c r="D168" s="450"/>
      <c r="E168" s="450"/>
      <c r="F168" s="450"/>
      <c r="G168" s="450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37"/>
      <c r="Z168" s="137"/>
      <c r="AA168" s="137"/>
      <c r="AB168" s="137"/>
      <c r="AC168" s="137"/>
      <c r="AD168" s="137"/>
      <c r="AE168" s="137"/>
      <c r="AF168" s="137"/>
      <c r="AG168" s="137" t="s">
        <v>93</v>
      </c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</row>
    <row r="169" spans="1:33" ht="12.75">
      <c r="A169" s="148" t="s">
        <v>91</v>
      </c>
      <c r="B169" s="149" t="s">
        <v>63</v>
      </c>
      <c r="C169" s="164" t="s">
        <v>26</v>
      </c>
      <c r="D169" s="150"/>
      <c r="E169" s="151"/>
      <c r="F169" s="152"/>
      <c r="G169" s="152">
        <f>G170+G172+G175+G178</f>
        <v>0</v>
      </c>
      <c r="H169" s="152"/>
      <c r="I169" s="152">
        <f>SUM(I172:I174)</f>
        <v>0</v>
      </c>
      <c r="J169" s="152"/>
      <c r="K169" s="152">
        <f>SUM(K172:K174)</f>
        <v>0</v>
      </c>
      <c r="L169" s="152"/>
      <c r="M169" s="152">
        <f>M170+M172+M175+M178</f>
        <v>0</v>
      </c>
      <c r="N169" s="152"/>
      <c r="O169" s="152">
        <f>SUM(O172:O174)</f>
        <v>0</v>
      </c>
      <c r="P169" s="152"/>
      <c r="Q169" s="152">
        <f>SUM(Q172:Q174)</f>
        <v>0</v>
      </c>
      <c r="R169" s="152"/>
      <c r="S169" s="152"/>
      <c r="T169" s="153"/>
      <c r="U169" s="147"/>
      <c r="V169" s="147">
        <f>SUM(V172:V174)</f>
        <v>0</v>
      </c>
      <c r="W169" s="147"/>
      <c r="X169" s="147"/>
      <c r="Z169" s="84"/>
      <c r="AG169" t="s">
        <v>92</v>
      </c>
    </row>
    <row r="170" spans="1:24" ht="12.75">
      <c r="A170" s="154">
        <v>64</v>
      </c>
      <c r="B170" s="155" t="s">
        <v>155</v>
      </c>
      <c r="C170" s="165" t="s">
        <v>103</v>
      </c>
      <c r="D170" s="156" t="s">
        <v>99</v>
      </c>
      <c r="E170" s="157">
        <v>1</v>
      </c>
      <c r="F170" s="158"/>
      <c r="G170" s="159">
        <f>ROUND(E170*F170,2)</f>
        <v>0</v>
      </c>
      <c r="H170" s="158">
        <v>0</v>
      </c>
      <c r="I170" s="159">
        <f>ROUND(E170*H170,2)</f>
        <v>0</v>
      </c>
      <c r="J170" s="158">
        <v>0</v>
      </c>
      <c r="K170" s="159">
        <f>ROUND(E170*J170,2)</f>
        <v>0</v>
      </c>
      <c r="L170" s="159">
        <v>21</v>
      </c>
      <c r="M170" s="159">
        <f>G170*(1+L170/100)</f>
        <v>0</v>
      </c>
      <c r="N170" s="159">
        <v>0</v>
      </c>
      <c r="O170" s="159">
        <f>ROUND(E170*N170,2)</f>
        <v>0</v>
      </c>
      <c r="P170" s="159">
        <v>0</v>
      </c>
      <c r="Q170" s="159">
        <f>ROUND(E170*P170,2)</f>
        <v>0</v>
      </c>
      <c r="R170" s="159"/>
      <c r="S170" s="221" t="s">
        <v>192</v>
      </c>
      <c r="T170" s="160" t="s">
        <v>100</v>
      </c>
      <c r="U170" s="147"/>
      <c r="V170" s="147"/>
      <c r="W170" s="147"/>
      <c r="X170" s="147"/>
    </row>
    <row r="171" spans="1:24" ht="12.75">
      <c r="A171" s="170"/>
      <c r="B171" s="171"/>
      <c r="C171" s="449"/>
      <c r="D171" s="450"/>
      <c r="E171" s="450"/>
      <c r="F171" s="450"/>
      <c r="G171" s="450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47"/>
      <c r="V171" s="147"/>
      <c r="W171" s="147"/>
      <c r="X171" s="147"/>
    </row>
    <row r="172" spans="1:60" ht="12.75" outlineLevel="1">
      <c r="A172" s="329">
        <v>65</v>
      </c>
      <c r="B172" s="330" t="s">
        <v>135</v>
      </c>
      <c r="C172" s="331" t="s">
        <v>136</v>
      </c>
      <c r="D172" s="332" t="s">
        <v>99</v>
      </c>
      <c r="E172" s="328">
        <v>1</v>
      </c>
      <c r="F172" s="158"/>
      <c r="G172" s="333">
        <f>ROUND(E172*F172,2)</f>
        <v>0</v>
      </c>
      <c r="H172" s="334">
        <v>0</v>
      </c>
      <c r="I172" s="333">
        <f>ROUND(E172*H172,2)</f>
        <v>0</v>
      </c>
      <c r="J172" s="334">
        <v>0</v>
      </c>
      <c r="K172" s="333">
        <f>ROUND(E172*J172,2)</f>
        <v>0</v>
      </c>
      <c r="L172" s="333">
        <v>21</v>
      </c>
      <c r="M172" s="333">
        <f>G172*(1+L172/100)</f>
        <v>0</v>
      </c>
      <c r="N172" s="333">
        <v>0</v>
      </c>
      <c r="O172" s="333">
        <f>ROUND(E172*N172,2)</f>
        <v>0</v>
      </c>
      <c r="P172" s="333">
        <v>0</v>
      </c>
      <c r="Q172" s="333">
        <f>ROUND(E172*P172,2)</f>
        <v>0</v>
      </c>
      <c r="R172" s="333"/>
      <c r="S172" s="333" t="s">
        <v>192</v>
      </c>
      <c r="T172" s="348" t="s">
        <v>100</v>
      </c>
      <c r="U172" s="146">
        <v>0</v>
      </c>
      <c r="V172" s="146">
        <f>ROUND(E172*U172,2)</f>
        <v>0</v>
      </c>
      <c r="W172" s="146"/>
      <c r="X172" s="146" t="s">
        <v>101</v>
      </c>
      <c r="Y172" s="137"/>
      <c r="Z172" s="137"/>
      <c r="AA172" s="137"/>
      <c r="AB172" s="137"/>
      <c r="AC172" s="137"/>
      <c r="AD172" s="137"/>
      <c r="AE172" s="137"/>
      <c r="AF172" s="137"/>
      <c r="AG172" s="137" t="s">
        <v>102</v>
      </c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</row>
    <row r="173" spans="1:60" ht="22.5" outlineLevel="1">
      <c r="A173" s="144"/>
      <c r="B173" s="145"/>
      <c r="C173" s="451" t="s">
        <v>137</v>
      </c>
      <c r="D173" s="452"/>
      <c r="E173" s="452"/>
      <c r="F173" s="452"/>
      <c r="G173" s="452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37"/>
      <c r="Z173" s="137"/>
      <c r="AA173" s="137"/>
      <c r="AB173" s="137"/>
      <c r="AC173" s="137"/>
      <c r="AD173" s="137"/>
      <c r="AE173" s="137"/>
      <c r="AF173" s="137"/>
      <c r="AG173" s="137" t="s">
        <v>104</v>
      </c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62" t="str">
        <f>C173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73" s="137"/>
      <c r="BC173" s="137"/>
      <c r="BD173" s="137"/>
      <c r="BE173" s="137"/>
      <c r="BF173" s="137"/>
      <c r="BG173" s="137"/>
      <c r="BH173" s="137"/>
    </row>
    <row r="174" spans="1:60" ht="12.75" outlineLevel="1">
      <c r="A174" s="144"/>
      <c r="B174" s="145"/>
      <c r="C174" s="447"/>
      <c r="D174" s="448"/>
      <c r="E174" s="448"/>
      <c r="F174" s="448"/>
      <c r="G174" s="448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37"/>
      <c r="Z174" s="137"/>
      <c r="AA174" s="137"/>
      <c r="AB174" s="137"/>
      <c r="AC174" s="137"/>
      <c r="AD174" s="137"/>
      <c r="AE174" s="137"/>
      <c r="AF174" s="137"/>
      <c r="AG174" s="137" t="s">
        <v>93</v>
      </c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</row>
    <row r="175" spans="1:60" ht="12.75" outlineLevel="1">
      <c r="A175" s="329">
        <v>66</v>
      </c>
      <c r="B175" s="330" t="s">
        <v>151</v>
      </c>
      <c r="C175" s="331" t="s">
        <v>98</v>
      </c>
      <c r="D175" s="332" t="s">
        <v>99</v>
      </c>
      <c r="E175" s="328">
        <v>1</v>
      </c>
      <c r="F175" s="158"/>
      <c r="G175" s="333">
        <f>ROUND(E175*F175,2)</f>
        <v>0</v>
      </c>
      <c r="H175" s="334">
        <v>0</v>
      </c>
      <c r="I175" s="333">
        <f>ROUND(E175*H175,2)</f>
        <v>0</v>
      </c>
      <c r="J175" s="334">
        <v>0</v>
      </c>
      <c r="K175" s="333">
        <f>ROUND(E175*J175,2)</f>
        <v>0</v>
      </c>
      <c r="L175" s="333">
        <v>21</v>
      </c>
      <c r="M175" s="333">
        <f>G175*(1+L175/100)</f>
        <v>0</v>
      </c>
      <c r="N175" s="333">
        <v>0</v>
      </c>
      <c r="O175" s="333">
        <f>ROUND(E175*N175,2)</f>
        <v>0</v>
      </c>
      <c r="P175" s="333">
        <v>0</v>
      </c>
      <c r="Q175" s="333">
        <f>ROUND(E175*P175,2)</f>
        <v>0</v>
      </c>
      <c r="R175" s="333"/>
      <c r="S175" s="333" t="s">
        <v>192</v>
      </c>
      <c r="T175" s="348" t="s">
        <v>100</v>
      </c>
      <c r="U175" s="146"/>
      <c r="V175" s="146"/>
      <c r="W175" s="146"/>
      <c r="X175" s="146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</row>
    <row r="176" spans="1:60" s="261" customFormat="1" ht="12.75" outlineLevel="1">
      <c r="A176" s="267"/>
      <c r="B176" s="268"/>
      <c r="C176" s="451" t="s">
        <v>310</v>
      </c>
      <c r="D176" s="452"/>
      <c r="E176" s="452"/>
      <c r="F176" s="452"/>
      <c r="G176" s="452"/>
      <c r="H176" s="270"/>
      <c r="I176" s="269"/>
      <c r="J176" s="270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6"/>
      <c r="Z176" s="266"/>
      <c r="AA176" s="266"/>
      <c r="AB176" s="266"/>
      <c r="AC176" s="266"/>
      <c r="AD176" s="266"/>
      <c r="AE176" s="266"/>
      <c r="AF176" s="266"/>
      <c r="AG176" s="266"/>
      <c r="AH176" s="266"/>
      <c r="AI176" s="266"/>
      <c r="AJ176" s="266"/>
      <c r="AK176" s="266"/>
      <c r="AL176" s="266"/>
      <c r="AM176" s="266"/>
      <c r="AN176" s="266"/>
      <c r="AO176" s="266"/>
      <c r="AP176" s="266"/>
      <c r="AQ176" s="266"/>
      <c r="AR176" s="266"/>
      <c r="AS176" s="266"/>
      <c r="AT176" s="266"/>
      <c r="AU176" s="266"/>
      <c r="AV176" s="266"/>
      <c r="AW176" s="266"/>
      <c r="AX176" s="266"/>
      <c r="AY176" s="266"/>
      <c r="AZ176" s="266"/>
      <c r="BA176" s="266"/>
      <c r="BB176" s="266"/>
      <c r="BC176" s="266"/>
      <c r="BD176" s="266"/>
      <c r="BE176" s="266"/>
      <c r="BF176" s="266"/>
      <c r="BG176" s="266"/>
      <c r="BH176" s="266"/>
    </row>
    <row r="177" spans="1:60" ht="12.75" outlineLevel="1">
      <c r="A177" s="144"/>
      <c r="B177" s="145"/>
      <c r="C177" s="447"/>
      <c r="D177" s="448"/>
      <c r="E177" s="448"/>
      <c r="F177" s="448"/>
      <c r="G177" s="448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</row>
    <row r="178" spans="1:60" ht="12.75" outlineLevel="1">
      <c r="A178" s="154">
        <v>67</v>
      </c>
      <c r="B178" s="155" t="s">
        <v>105</v>
      </c>
      <c r="C178" s="165" t="s">
        <v>106</v>
      </c>
      <c r="D178" s="156" t="s">
        <v>99</v>
      </c>
      <c r="E178" s="157">
        <v>1</v>
      </c>
      <c r="F178" s="158"/>
      <c r="G178" s="159">
        <f>ROUND(E178*F178,2)</f>
        <v>0</v>
      </c>
      <c r="H178" s="158">
        <v>0</v>
      </c>
      <c r="I178" s="159">
        <f>ROUND(E178*H178,2)</f>
        <v>0</v>
      </c>
      <c r="J178" s="158">
        <v>0</v>
      </c>
      <c r="K178" s="159">
        <f>ROUND(E178*J178,2)</f>
        <v>0</v>
      </c>
      <c r="L178" s="159">
        <v>21</v>
      </c>
      <c r="M178" s="159">
        <f>G178*(1+L178/100)</f>
        <v>0</v>
      </c>
      <c r="N178" s="159">
        <v>0</v>
      </c>
      <c r="O178" s="159">
        <f>ROUND(E178*N178,2)</f>
        <v>0</v>
      </c>
      <c r="P178" s="159">
        <v>0</v>
      </c>
      <c r="Q178" s="159">
        <f>ROUND(E178*P178,2)</f>
        <v>0</v>
      </c>
      <c r="R178" s="159"/>
      <c r="S178" s="221" t="s">
        <v>192</v>
      </c>
      <c r="T178" s="160" t="s">
        <v>100</v>
      </c>
      <c r="U178" s="146"/>
      <c r="V178" s="146"/>
      <c r="W178" s="146"/>
      <c r="X178" s="146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</row>
    <row r="179" spans="1:60" ht="22.5" customHeight="1" outlineLevel="1">
      <c r="A179" s="144"/>
      <c r="B179" s="145"/>
      <c r="C179" s="451" t="s">
        <v>107</v>
      </c>
      <c r="D179" s="452"/>
      <c r="E179" s="452"/>
      <c r="F179" s="452"/>
      <c r="G179" s="452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</row>
    <row r="180" spans="1:60" ht="12.75" outlineLevel="1">
      <c r="A180" s="144"/>
      <c r="B180" s="145"/>
      <c r="C180" s="166"/>
      <c r="D180" s="161"/>
      <c r="E180" s="161"/>
      <c r="F180" s="161"/>
      <c r="G180" s="161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</row>
    <row r="181" spans="1:33" ht="12.75">
      <c r="A181" s="148" t="s">
        <v>91</v>
      </c>
      <c r="B181" s="149" t="s">
        <v>64</v>
      </c>
      <c r="C181" s="164" t="s">
        <v>27</v>
      </c>
      <c r="D181" s="150"/>
      <c r="E181" s="151"/>
      <c r="F181" s="152"/>
      <c r="G181" s="152">
        <f>SUMIF(AG182:AG193,"&lt;&gt;NOR",G182:G193)</f>
        <v>0</v>
      </c>
      <c r="H181" s="152"/>
      <c r="I181" s="152">
        <f>SUM(I182:I193)</f>
        <v>0</v>
      </c>
      <c r="J181" s="152"/>
      <c r="K181" s="152">
        <f>SUM(K182:K193)</f>
        <v>0</v>
      </c>
      <c r="L181" s="152"/>
      <c r="M181" s="152">
        <f>SUM(M182:M193)</f>
        <v>0</v>
      </c>
      <c r="N181" s="152"/>
      <c r="O181" s="152">
        <f>SUM(O182:O193)</f>
        <v>0</v>
      </c>
      <c r="P181" s="152"/>
      <c r="Q181" s="152">
        <f>SUM(Q182:Q193)</f>
        <v>0</v>
      </c>
      <c r="R181" s="152"/>
      <c r="S181" s="152"/>
      <c r="T181" s="153"/>
      <c r="U181" s="147"/>
      <c r="V181" s="147">
        <f>SUM(V182:V193)</f>
        <v>0</v>
      </c>
      <c r="W181" s="147"/>
      <c r="X181" s="147"/>
      <c r="AG181" t="s">
        <v>92</v>
      </c>
    </row>
    <row r="182" spans="1:60" ht="12.75" outlineLevel="1">
      <c r="A182" s="154">
        <v>68</v>
      </c>
      <c r="B182" s="155" t="s">
        <v>138</v>
      </c>
      <c r="C182" s="165" t="s">
        <v>139</v>
      </c>
      <c r="D182" s="156" t="s">
        <v>99</v>
      </c>
      <c r="E182" s="157">
        <v>1</v>
      </c>
      <c r="F182" s="158"/>
      <c r="G182" s="159">
        <f>ROUND(E182*F182,2)</f>
        <v>0</v>
      </c>
      <c r="H182" s="158">
        <v>0</v>
      </c>
      <c r="I182" s="159">
        <f>ROUND(E182*H182,2)</f>
        <v>0</v>
      </c>
      <c r="J182" s="158">
        <v>0</v>
      </c>
      <c r="K182" s="159">
        <f>ROUND(E182*J182,2)</f>
        <v>0</v>
      </c>
      <c r="L182" s="159">
        <v>21</v>
      </c>
      <c r="M182" s="159">
        <f>G182*(1+L182/100)</f>
        <v>0</v>
      </c>
      <c r="N182" s="159">
        <v>0</v>
      </c>
      <c r="O182" s="159">
        <f>ROUND(E182*N182,2)</f>
        <v>0</v>
      </c>
      <c r="P182" s="159">
        <v>0</v>
      </c>
      <c r="Q182" s="159">
        <f>ROUND(E182*P182,2)</f>
        <v>0</v>
      </c>
      <c r="R182" s="159"/>
      <c r="S182" s="221" t="s">
        <v>192</v>
      </c>
      <c r="T182" s="160" t="s">
        <v>100</v>
      </c>
      <c r="U182" s="146">
        <v>0</v>
      </c>
      <c r="V182" s="146">
        <f>ROUND(E182*U182,2)</f>
        <v>0</v>
      </c>
      <c r="W182" s="146"/>
      <c r="X182" s="146" t="s">
        <v>101</v>
      </c>
      <c r="Y182" s="173"/>
      <c r="Z182" s="137"/>
      <c r="AA182" s="137"/>
      <c r="AB182" s="137"/>
      <c r="AC182" s="137"/>
      <c r="AD182" s="137"/>
      <c r="AE182" s="137"/>
      <c r="AF182" s="137"/>
      <c r="AG182" s="137" t="s">
        <v>102</v>
      </c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</row>
    <row r="183" spans="1:60" ht="33.75" customHeight="1" outlineLevel="1">
      <c r="A183" s="144"/>
      <c r="B183" s="145"/>
      <c r="C183" s="451" t="s">
        <v>152</v>
      </c>
      <c r="D183" s="452"/>
      <c r="E183" s="452"/>
      <c r="F183" s="452"/>
      <c r="G183" s="452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37"/>
      <c r="Z183" s="137"/>
      <c r="AA183" s="137"/>
      <c r="AB183" s="137"/>
      <c r="AC183" s="137"/>
      <c r="AD183" s="137"/>
      <c r="AE183" s="137"/>
      <c r="AF183" s="137"/>
      <c r="AG183" s="137" t="s">
        <v>104</v>
      </c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62" t="str">
        <f>C183</f>
        <v>Náklady na vyhotovení návrhu dočasného dopravního značení, jeho projednání s dotčenými orgány a organizacemi, dodání dopravních značek i případné světelné signalizace, jejich rozmístění a přemísťování a jejich údržba v průběhu výstavby včetně následného odstranění po ukončení stavebních prací.</v>
      </c>
      <c r="BB183" s="137"/>
      <c r="BC183" s="137"/>
      <c r="BD183" s="137"/>
      <c r="BE183" s="137"/>
      <c r="BF183" s="137"/>
      <c r="BG183" s="137"/>
      <c r="BH183" s="137"/>
    </row>
    <row r="184" spans="1:60" ht="12.75" outlineLevel="1">
      <c r="A184" s="144"/>
      <c r="B184" s="145"/>
      <c r="C184" s="447"/>
      <c r="D184" s="448"/>
      <c r="E184" s="448"/>
      <c r="F184" s="448"/>
      <c r="G184" s="448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37"/>
      <c r="Z184" s="137"/>
      <c r="AA184" s="137"/>
      <c r="AB184" s="137"/>
      <c r="AC184" s="137"/>
      <c r="AD184" s="137"/>
      <c r="AE184" s="137"/>
      <c r="AF184" s="137"/>
      <c r="AG184" s="137" t="s">
        <v>93</v>
      </c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</row>
    <row r="185" spans="1:60" ht="12.75" outlineLevel="1">
      <c r="A185" s="329">
        <v>69</v>
      </c>
      <c r="B185" s="330" t="s">
        <v>140</v>
      </c>
      <c r="C185" s="331" t="s">
        <v>311</v>
      </c>
      <c r="D185" s="332" t="s">
        <v>99</v>
      </c>
      <c r="E185" s="328">
        <v>1</v>
      </c>
      <c r="F185" s="158"/>
      <c r="G185" s="333">
        <f>ROUND(E185*F185,2)</f>
        <v>0</v>
      </c>
      <c r="H185" s="334">
        <v>0</v>
      </c>
      <c r="I185" s="333">
        <f>ROUND(E185*H185,2)</f>
        <v>0</v>
      </c>
      <c r="J185" s="334">
        <v>0</v>
      </c>
      <c r="K185" s="333">
        <f>ROUND(E185*J185,2)</f>
        <v>0</v>
      </c>
      <c r="L185" s="333">
        <v>21</v>
      </c>
      <c r="M185" s="333">
        <f>G185*(1+L185/100)</f>
        <v>0</v>
      </c>
      <c r="N185" s="333">
        <v>0</v>
      </c>
      <c r="O185" s="333">
        <f>ROUND(E185*N185,2)</f>
        <v>0</v>
      </c>
      <c r="P185" s="333">
        <v>0</v>
      </c>
      <c r="Q185" s="333">
        <f>ROUND(E185*P185,2)</f>
        <v>0</v>
      </c>
      <c r="R185" s="333"/>
      <c r="S185" s="333" t="s">
        <v>192</v>
      </c>
      <c r="T185" s="348" t="s">
        <v>100</v>
      </c>
      <c r="U185" s="146">
        <v>0</v>
      </c>
      <c r="V185" s="146">
        <f>ROUND(E185*U185,2)</f>
        <v>0</v>
      </c>
      <c r="W185" s="146"/>
      <c r="X185" s="146" t="s">
        <v>101</v>
      </c>
      <c r="Y185" s="137"/>
      <c r="Z185" s="137"/>
      <c r="AA185" s="137"/>
      <c r="AB185" s="137"/>
      <c r="AC185" s="137"/>
      <c r="AD185" s="137"/>
      <c r="AE185" s="137"/>
      <c r="AF185" s="137"/>
      <c r="AG185" s="137" t="s">
        <v>102</v>
      </c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</row>
    <row r="186" spans="1:60" ht="12.75" outlineLevel="1">
      <c r="A186" s="144"/>
      <c r="B186" s="145"/>
      <c r="C186" s="451" t="s">
        <v>141</v>
      </c>
      <c r="D186" s="452"/>
      <c r="E186" s="452"/>
      <c r="F186" s="452"/>
      <c r="G186" s="452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37"/>
      <c r="Z186" s="137"/>
      <c r="AA186" s="137"/>
      <c r="AB186" s="137"/>
      <c r="AC186" s="137"/>
      <c r="AD186" s="137"/>
      <c r="AE186" s="137"/>
      <c r="AF186" s="137"/>
      <c r="AG186" s="137" t="s">
        <v>104</v>
      </c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62" t="str">
        <f>C186</f>
        <v>Náklady na vyhotovení dokumentace skutečného provedení stavby a její předání objednateli v požadované formě a požadovaném počtu.</v>
      </c>
      <c r="BB186" s="137"/>
      <c r="BC186" s="137"/>
      <c r="BD186" s="137"/>
      <c r="BE186" s="137"/>
      <c r="BF186" s="137"/>
      <c r="BG186" s="137"/>
      <c r="BH186" s="137"/>
    </row>
    <row r="187" spans="1:60" ht="12.75" outlineLevel="1">
      <c r="A187" s="144"/>
      <c r="B187" s="145"/>
      <c r="C187" s="447"/>
      <c r="D187" s="448"/>
      <c r="E187" s="448"/>
      <c r="F187" s="448"/>
      <c r="G187" s="448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37"/>
      <c r="Z187" s="137"/>
      <c r="AA187" s="137"/>
      <c r="AB187" s="137"/>
      <c r="AC187" s="137"/>
      <c r="AD187" s="137"/>
      <c r="AE187" s="137"/>
      <c r="AF187" s="137"/>
      <c r="AG187" s="137" t="s">
        <v>93</v>
      </c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</row>
    <row r="188" spans="1:60" s="261" customFormat="1" ht="12.75" outlineLevel="1">
      <c r="A188" s="277">
        <v>70</v>
      </c>
      <c r="B188" s="278" t="s">
        <v>313</v>
      </c>
      <c r="C188" s="285" t="s">
        <v>312</v>
      </c>
      <c r="D188" s="279" t="s">
        <v>99</v>
      </c>
      <c r="E188" s="280">
        <v>1</v>
      </c>
      <c r="F188" s="281"/>
      <c r="G188" s="282">
        <f>ROUND(E188*F188,2)</f>
        <v>0</v>
      </c>
      <c r="H188" s="281">
        <v>0</v>
      </c>
      <c r="I188" s="282">
        <f>ROUND(E188*H188,2)</f>
        <v>0</v>
      </c>
      <c r="J188" s="281">
        <v>0</v>
      </c>
      <c r="K188" s="282">
        <f>ROUND(E188*J188,2)</f>
        <v>0</v>
      </c>
      <c r="L188" s="282">
        <v>21</v>
      </c>
      <c r="M188" s="282">
        <f>G188*(1+L188/100)</f>
        <v>0</v>
      </c>
      <c r="N188" s="282">
        <v>0</v>
      </c>
      <c r="O188" s="282">
        <f>ROUND(E188*N188,2)</f>
        <v>0</v>
      </c>
      <c r="P188" s="282">
        <v>0</v>
      </c>
      <c r="Q188" s="282">
        <f>ROUND(E188*P188,2)</f>
        <v>0</v>
      </c>
      <c r="R188" s="282"/>
      <c r="S188" s="282" t="s">
        <v>192</v>
      </c>
      <c r="T188" s="283" t="s">
        <v>100</v>
      </c>
      <c r="U188" s="269"/>
      <c r="V188" s="269"/>
      <c r="W188" s="269"/>
      <c r="X188" s="269"/>
      <c r="Y188" s="266"/>
      <c r="Z188" s="266"/>
      <c r="AA188" s="266"/>
      <c r="AB188" s="266"/>
      <c r="AC188" s="266"/>
      <c r="AD188" s="266"/>
      <c r="AE188" s="266"/>
      <c r="AF188" s="266"/>
      <c r="AG188" s="266"/>
      <c r="AH188" s="266"/>
      <c r="AI188" s="266"/>
      <c r="AJ188" s="266"/>
      <c r="AK188" s="266"/>
      <c r="AL188" s="266"/>
      <c r="AM188" s="266"/>
      <c r="AN188" s="266"/>
      <c r="AO188" s="266"/>
      <c r="AP188" s="266"/>
      <c r="AQ188" s="266"/>
      <c r="AR188" s="266"/>
      <c r="AS188" s="266"/>
      <c r="AT188" s="266"/>
      <c r="AU188" s="266"/>
      <c r="AV188" s="266"/>
      <c r="AW188" s="266"/>
      <c r="AX188" s="266"/>
      <c r="AY188" s="266"/>
      <c r="AZ188" s="266"/>
      <c r="BA188" s="266"/>
      <c r="BB188" s="266"/>
      <c r="BC188" s="266"/>
      <c r="BD188" s="266"/>
      <c r="BE188" s="266"/>
      <c r="BF188" s="266"/>
      <c r="BG188" s="266"/>
      <c r="BH188" s="266"/>
    </row>
    <row r="189" spans="1:60" s="261" customFormat="1" ht="12.75" outlineLevel="1">
      <c r="A189" s="267"/>
      <c r="B189" s="268"/>
      <c r="C189" s="451" t="s">
        <v>141</v>
      </c>
      <c r="D189" s="452"/>
      <c r="E189" s="452"/>
      <c r="F189" s="452"/>
      <c r="G189" s="452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6"/>
      <c r="Z189" s="266"/>
      <c r="AA189" s="266"/>
      <c r="AB189" s="266"/>
      <c r="AC189" s="266"/>
      <c r="AD189" s="266"/>
      <c r="AE189" s="266"/>
      <c r="AF189" s="266"/>
      <c r="AG189" s="266"/>
      <c r="AH189" s="266"/>
      <c r="AI189" s="266"/>
      <c r="AJ189" s="266"/>
      <c r="AK189" s="266"/>
      <c r="AL189" s="266"/>
      <c r="AM189" s="266"/>
      <c r="AN189" s="266"/>
      <c r="AO189" s="266"/>
      <c r="AP189" s="266"/>
      <c r="AQ189" s="266"/>
      <c r="AR189" s="266"/>
      <c r="AS189" s="266"/>
      <c r="AT189" s="266"/>
      <c r="AU189" s="266"/>
      <c r="AV189" s="266"/>
      <c r="AW189" s="266"/>
      <c r="AX189" s="266"/>
      <c r="AY189" s="266"/>
      <c r="AZ189" s="266"/>
      <c r="BA189" s="266"/>
      <c r="BB189" s="266"/>
      <c r="BC189" s="266"/>
      <c r="BD189" s="266"/>
      <c r="BE189" s="266"/>
      <c r="BF189" s="266"/>
      <c r="BG189" s="266"/>
      <c r="BH189" s="266"/>
    </row>
    <row r="190" spans="1:60" s="261" customFormat="1" ht="12.75" outlineLevel="1">
      <c r="A190" s="267"/>
      <c r="B190" s="268"/>
      <c r="C190" s="319"/>
      <c r="D190" s="320"/>
      <c r="E190" s="320"/>
      <c r="F190" s="320"/>
      <c r="G190" s="320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6"/>
      <c r="Z190" s="266"/>
      <c r="AA190" s="266"/>
      <c r="AB190" s="266"/>
      <c r="AC190" s="266"/>
      <c r="AD190" s="266"/>
      <c r="AE190" s="266"/>
      <c r="AF190" s="266"/>
      <c r="AG190" s="266"/>
      <c r="AH190" s="266"/>
      <c r="AI190" s="266"/>
      <c r="AJ190" s="266"/>
      <c r="AK190" s="266"/>
      <c r="AL190" s="266"/>
      <c r="AM190" s="266"/>
      <c r="AN190" s="266"/>
      <c r="AO190" s="266"/>
      <c r="AP190" s="266"/>
      <c r="AQ190" s="266"/>
      <c r="AR190" s="266"/>
      <c r="AS190" s="266"/>
      <c r="AT190" s="266"/>
      <c r="AU190" s="266"/>
      <c r="AV190" s="266"/>
      <c r="AW190" s="266"/>
      <c r="AX190" s="266"/>
      <c r="AY190" s="266"/>
      <c r="AZ190" s="266"/>
      <c r="BA190" s="266"/>
      <c r="BB190" s="266"/>
      <c r="BC190" s="266"/>
      <c r="BD190" s="266"/>
      <c r="BE190" s="266"/>
      <c r="BF190" s="266"/>
      <c r="BG190" s="266"/>
      <c r="BH190" s="266"/>
    </row>
    <row r="191" spans="1:60" ht="12.75" outlineLevel="1">
      <c r="A191" s="329">
        <v>71</v>
      </c>
      <c r="B191" s="330" t="s">
        <v>142</v>
      </c>
      <c r="C191" s="331" t="s">
        <v>143</v>
      </c>
      <c r="D191" s="332" t="s">
        <v>99</v>
      </c>
      <c r="E191" s="328">
        <v>1</v>
      </c>
      <c r="F191" s="158"/>
      <c r="G191" s="333">
        <f>ROUND(E191*F191,2)</f>
        <v>0</v>
      </c>
      <c r="H191" s="334">
        <v>0</v>
      </c>
      <c r="I191" s="333">
        <f>ROUND(E191*H191,2)</f>
        <v>0</v>
      </c>
      <c r="J191" s="334">
        <v>0</v>
      </c>
      <c r="K191" s="333">
        <f>ROUND(E191*J191,2)</f>
        <v>0</v>
      </c>
      <c r="L191" s="333">
        <v>21</v>
      </c>
      <c r="M191" s="333">
        <f>G191*(1+L191/100)</f>
        <v>0</v>
      </c>
      <c r="N191" s="333">
        <v>0</v>
      </c>
      <c r="O191" s="333">
        <f>ROUND(E191*N191,2)</f>
        <v>0</v>
      </c>
      <c r="P191" s="333">
        <v>0</v>
      </c>
      <c r="Q191" s="333">
        <f>ROUND(E191*P191,2)</f>
        <v>0</v>
      </c>
      <c r="R191" s="333"/>
      <c r="S191" s="333" t="s">
        <v>192</v>
      </c>
      <c r="T191" s="348" t="s">
        <v>100</v>
      </c>
      <c r="U191" s="146">
        <v>0</v>
      </c>
      <c r="V191" s="146">
        <f>ROUND(E191*U191,2)</f>
        <v>0</v>
      </c>
      <c r="W191" s="146"/>
      <c r="X191" s="146" t="s">
        <v>101</v>
      </c>
      <c r="Y191" s="137"/>
      <c r="Z191" s="137"/>
      <c r="AA191" s="137"/>
      <c r="AB191" s="137"/>
      <c r="AC191" s="137"/>
      <c r="AD191" s="137"/>
      <c r="AE191" s="137"/>
      <c r="AF191" s="137"/>
      <c r="AG191" s="137" t="s">
        <v>102</v>
      </c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</row>
    <row r="192" spans="1:60" ht="13.5" customHeight="1" outlineLevel="1">
      <c r="A192" s="144"/>
      <c r="B192" s="145"/>
      <c r="C192" s="451" t="s">
        <v>153</v>
      </c>
      <c r="D192" s="452"/>
      <c r="E192" s="452"/>
      <c r="F192" s="452"/>
      <c r="G192" s="452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37"/>
      <c r="Z192" s="137"/>
      <c r="AA192" s="137"/>
      <c r="AB192" s="137"/>
      <c r="AC192" s="137"/>
      <c r="AD192" s="137"/>
      <c r="AE192" s="137"/>
      <c r="AF192" s="137"/>
      <c r="AG192" s="137" t="s">
        <v>104</v>
      </c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62" t="str">
        <f>C192</f>
        <v>Náklady spojené s povinnou publicitou. Zahrnuje zejména náklady na propagační a informační billboardy, tabule, internetovou propagaci, tiskoviny apod.</v>
      </c>
      <c r="BB192" s="137"/>
      <c r="BC192" s="137"/>
      <c r="BD192" s="137"/>
      <c r="BE192" s="137"/>
      <c r="BF192" s="137"/>
      <c r="BG192" s="137"/>
      <c r="BH192" s="137"/>
    </row>
    <row r="193" spans="1:60" ht="12.75" outlineLevel="1">
      <c r="A193" s="144"/>
      <c r="B193" s="145"/>
      <c r="C193" s="447"/>
      <c r="D193" s="448"/>
      <c r="E193" s="448"/>
      <c r="F193" s="448"/>
      <c r="G193" s="448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37"/>
      <c r="Z193" s="137"/>
      <c r="AA193" s="137"/>
      <c r="AB193" s="137"/>
      <c r="AC193" s="137"/>
      <c r="AD193" s="137"/>
      <c r="AE193" s="137"/>
      <c r="AF193" s="137"/>
      <c r="AG193" s="137" t="s">
        <v>93</v>
      </c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</row>
    <row r="194" spans="1:33" ht="12.75">
      <c r="A194" s="3"/>
      <c r="B194" s="4"/>
      <c r="C194" s="167"/>
      <c r="D194" s="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AE194">
        <v>15</v>
      </c>
      <c r="AF194">
        <v>21</v>
      </c>
      <c r="AG194" t="s">
        <v>78</v>
      </c>
    </row>
    <row r="195" spans="1:33" ht="12.75">
      <c r="A195" s="140"/>
      <c r="B195" s="141" t="s">
        <v>28</v>
      </c>
      <c r="C195" s="168"/>
      <c r="D195" s="142"/>
      <c r="E195" s="143"/>
      <c r="F195" s="143"/>
      <c r="G195" s="163">
        <f>G8+G49+G53+G62+G87+G105+G149+G152+G159+G162+G169+G181</f>
        <v>0</v>
      </c>
      <c r="H195" s="3"/>
      <c r="I195" s="3"/>
      <c r="J195" s="3"/>
      <c r="K195" s="3"/>
      <c r="L195" s="139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AE195">
        <f>SUMIF(L7:L193,AE194,G7:G193)</f>
        <v>0</v>
      </c>
      <c r="AF195">
        <f>SUMIF(L7:L193,AF194,G7:G193)</f>
        <v>0</v>
      </c>
      <c r="AG195" t="s">
        <v>144</v>
      </c>
    </row>
    <row r="196" spans="3:33" ht="12.75">
      <c r="C196" s="169"/>
      <c r="D196" s="10"/>
      <c r="AG196" t="s">
        <v>145</v>
      </c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  <row r="5001" ht="12.75">
      <c r="D5001" s="10"/>
    </row>
    <row r="5002" ht="12.75">
      <c r="D5002" s="10"/>
    </row>
    <row r="5003" ht="12.75">
      <c r="D5003" s="10"/>
    </row>
    <row r="5004" ht="12.75">
      <c r="D5004" s="10"/>
    </row>
    <row r="5005" ht="12.75">
      <c r="D5005" s="10"/>
    </row>
    <row r="5006" ht="12.75">
      <c r="D5006" s="10"/>
    </row>
    <row r="5007" ht="12.75">
      <c r="D5007" s="10"/>
    </row>
    <row r="5008" ht="12.75">
      <c r="D5008" s="10"/>
    </row>
    <row r="5009" ht="12.75">
      <c r="D5009" s="10"/>
    </row>
    <row r="5010" ht="12.75">
      <c r="D5010" s="10"/>
    </row>
    <row r="5011" ht="12.75">
      <c r="D5011" s="10"/>
    </row>
    <row r="5012" ht="12.75">
      <c r="D5012" s="10"/>
    </row>
    <row r="5013" ht="12.75">
      <c r="D5013" s="10"/>
    </row>
    <row r="5014" ht="12.75">
      <c r="D5014" s="10"/>
    </row>
    <row r="5015" ht="12.75">
      <c r="D5015" s="10"/>
    </row>
  </sheetData>
  <sheetProtection sheet="1" objects="1" scenarios="1"/>
  <mergeCells count="65">
    <mergeCell ref="C64:G64"/>
    <mergeCell ref="C132:G132"/>
    <mergeCell ref="C108:G108"/>
    <mergeCell ref="C126:G126"/>
    <mergeCell ref="C131:G131"/>
    <mergeCell ref="C111:G111"/>
    <mergeCell ref="C127:G127"/>
    <mergeCell ref="C120:G120"/>
    <mergeCell ref="C124:G124"/>
    <mergeCell ref="C79:G79"/>
    <mergeCell ref="C76:G76"/>
    <mergeCell ref="C85:G85"/>
    <mergeCell ref="C23:G23"/>
    <mergeCell ref="C40:G40"/>
    <mergeCell ref="C18:G18"/>
    <mergeCell ref="C19:G19"/>
    <mergeCell ref="C21:G21"/>
    <mergeCell ref="C26:G26"/>
    <mergeCell ref="C27:G27"/>
    <mergeCell ref="C32:G32"/>
    <mergeCell ref="C29:G29"/>
    <mergeCell ref="C30:G30"/>
    <mergeCell ref="A1:G1"/>
    <mergeCell ref="C3:G3"/>
    <mergeCell ref="C16:G16"/>
    <mergeCell ref="C10:G10"/>
    <mergeCell ref="C12:G12"/>
    <mergeCell ref="C2:H2"/>
    <mergeCell ref="C4:H4"/>
    <mergeCell ref="C14:G14"/>
    <mergeCell ref="C192:G192"/>
    <mergeCell ref="C193:G193"/>
    <mergeCell ref="C164:G164"/>
    <mergeCell ref="C168:G168"/>
    <mergeCell ref="C173:G173"/>
    <mergeCell ref="C174:G174"/>
    <mergeCell ref="C171:G171"/>
    <mergeCell ref="C177:G177"/>
    <mergeCell ref="C179:G179"/>
    <mergeCell ref="C183:G183"/>
    <mergeCell ref="C187:G187"/>
    <mergeCell ref="C166:G166"/>
    <mergeCell ref="C184:G184"/>
    <mergeCell ref="C186:G186"/>
    <mergeCell ref="C176:G176"/>
    <mergeCell ref="C189:G189"/>
    <mergeCell ref="C161:G161"/>
    <mergeCell ref="C93:G93"/>
    <mergeCell ref="C99:G99"/>
    <mergeCell ref="C158:G158"/>
    <mergeCell ref="C154:G154"/>
    <mergeCell ref="C140:G140"/>
    <mergeCell ref="C141:G141"/>
    <mergeCell ref="C156:G156"/>
    <mergeCell ref="C144:G144"/>
    <mergeCell ref="C143:G143"/>
    <mergeCell ref="C138:G138"/>
    <mergeCell ref="C55:G55"/>
    <mergeCell ref="C56:G56"/>
    <mergeCell ref="C60:G60"/>
    <mergeCell ref="C48:G48"/>
    <mergeCell ref="C41:G41"/>
    <mergeCell ref="C43:G43"/>
    <mergeCell ref="C52:G52"/>
    <mergeCell ref="C51:G51"/>
  </mergeCells>
  <printOptions/>
  <pageMargins left="0.590551181102362" right="0.196850393700787" top="0.787401575" bottom="0.787401575" header="0.3" footer="0.3"/>
  <pageSetup fitToHeight="0" fitToWidth="1" horizontalDpi="600" verticalDpi="600" orientation="landscape" paperSize="9" scale="85" r:id="rId3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H49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8.875" defaultRowHeight="12.75" outlineLevelRow="1"/>
  <cols>
    <col min="1" max="1" width="3.375" style="261" customWidth="1"/>
    <col min="2" max="2" width="12.625" style="122" customWidth="1"/>
    <col min="3" max="3" width="63.25390625" style="122" customWidth="1"/>
    <col min="4" max="4" width="4.875" style="261" customWidth="1"/>
    <col min="5" max="5" width="10.625" style="261" customWidth="1"/>
    <col min="6" max="6" width="9.875" style="261" customWidth="1"/>
    <col min="7" max="7" width="12.75390625" style="261" customWidth="1"/>
    <col min="8" max="11" width="0" style="261" hidden="1" customWidth="1"/>
    <col min="12" max="12" width="11.75390625" style="261" bestFit="1" customWidth="1"/>
    <col min="13" max="13" width="11.75390625" style="261" customWidth="1"/>
    <col min="14" max="17" width="0" style="261" hidden="1" customWidth="1"/>
    <col min="18" max="18" width="6.875" style="261" customWidth="1"/>
    <col min="19" max="19" width="8.875" style="261" customWidth="1"/>
    <col min="20" max="20" width="8.375" style="261" customWidth="1"/>
    <col min="21" max="24" width="0" style="261" hidden="1" customWidth="1"/>
    <col min="25" max="25" width="10.125" style="261" bestFit="1" customWidth="1"/>
    <col min="26" max="26" width="11.75390625" style="261" bestFit="1" customWidth="1"/>
    <col min="27" max="28" width="8.875" style="261" customWidth="1"/>
    <col min="29" max="29" width="0" style="261" hidden="1" customWidth="1"/>
    <col min="30" max="30" width="8.875" style="261" customWidth="1"/>
    <col min="31" max="41" width="0" style="261" hidden="1" customWidth="1"/>
    <col min="42" max="52" width="8.875" style="261" customWidth="1"/>
    <col min="53" max="53" width="98.75390625" style="261" customWidth="1"/>
    <col min="54" max="16384" width="8.875" style="261" customWidth="1"/>
  </cols>
  <sheetData>
    <row r="1" spans="1:33" ht="15.75" customHeight="1">
      <c r="A1" s="454" t="s">
        <v>65</v>
      </c>
      <c r="B1" s="455"/>
      <c r="C1" s="455"/>
      <c r="D1" s="455"/>
      <c r="E1" s="455"/>
      <c r="F1" s="455"/>
      <c r="G1" s="455"/>
      <c r="H1" s="185"/>
      <c r="L1" s="189"/>
      <c r="AG1" s="261" t="s">
        <v>66</v>
      </c>
    </row>
    <row r="2" spans="1:33" ht="24.75" customHeight="1">
      <c r="A2" s="186" t="s">
        <v>7</v>
      </c>
      <c r="B2" s="262" t="s">
        <v>262</v>
      </c>
      <c r="C2" s="459" t="s">
        <v>263</v>
      </c>
      <c r="D2" s="460"/>
      <c r="E2" s="460"/>
      <c r="F2" s="460"/>
      <c r="G2" s="460"/>
      <c r="H2" s="461"/>
      <c r="L2" s="189"/>
      <c r="AG2" s="261" t="s">
        <v>67</v>
      </c>
    </row>
    <row r="3" spans="1:33" ht="24.75" customHeight="1">
      <c r="A3" s="186" t="s">
        <v>8</v>
      </c>
      <c r="B3" s="327" t="s">
        <v>43</v>
      </c>
      <c r="C3" s="456" t="s">
        <v>323</v>
      </c>
      <c r="D3" s="457"/>
      <c r="E3" s="457"/>
      <c r="F3" s="457"/>
      <c r="G3" s="458"/>
      <c r="H3" s="187"/>
      <c r="L3" s="189"/>
      <c r="AC3" s="122" t="s">
        <v>67</v>
      </c>
      <c r="AG3" s="261" t="s">
        <v>68</v>
      </c>
    </row>
    <row r="4" spans="1:33" ht="24.75" customHeight="1">
      <c r="A4" s="188" t="s">
        <v>9</v>
      </c>
      <c r="B4" s="265" t="s">
        <v>262</v>
      </c>
      <c r="C4" s="434" t="s">
        <v>265</v>
      </c>
      <c r="D4" s="435"/>
      <c r="E4" s="435"/>
      <c r="F4" s="435"/>
      <c r="G4" s="435"/>
      <c r="H4" s="436"/>
      <c r="L4" s="189"/>
      <c r="AG4" s="261" t="s">
        <v>69</v>
      </c>
    </row>
    <row r="5" ht="12.75">
      <c r="D5" s="10"/>
    </row>
    <row r="6" spans="1:24" ht="306">
      <c r="A6" s="133" t="s">
        <v>70</v>
      </c>
      <c r="B6" s="135" t="s">
        <v>71</v>
      </c>
      <c r="C6" s="135" t="s">
        <v>72</v>
      </c>
      <c r="D6" s="134" t="s">
        <v>73</v>
      </c>
      <c r="E6" s="133" t="s">
        <v>74</v>
      </c>
      <c r="F6" s="132" t="s">
        <v>75</v>
      </c>
      <c r="G6" s="133" t="s">
        <v>28</v>
      </c>
      <c r="H6" s="136" t="s">
        <v>29</v>
      </c>
      <c r="I6" s="136" t="s">
        <v>76</v>
      </c>
      <c r="J6" s="136" t="s">
        <v>30</v>
      </c>
      <c r="K6" s="136" t="s">
        <v>77</v>
      </c>
      <c r="L6" s="136" t="s">
        <v>78</v>
      </c>
      <c r="M6" s="136" t="s">
        <v>79</v>
      </c>
      <c r="N6" s="136" t="s">
        <v>80</v>
      </c>
      <c r="O6" s="136" t="s">
        <v>81</v>
      </c>
      <c r="P6" s="136" t="s">
        <v>82</v>
      </c>
      <c r="Q6" s="136" t="s">
        <v>83</v>
      </c>
      <c r="R6" s="136" t="s">
        <v>84</v>
      </c>
      <c r="S6" s="136" t="s">
        <v>85</v>
      </c>
      <c r="T6" s="136" t="s">
        <v>86</v>
      </c>
      <c r="U6" s="136" t="s">
        <v>87</v>
      </c>
      <c r="V6" s="136" t="s">
        <v>88</v>
      </c>
      <c r="W6" s="136" t="s">
        <v>89</v>
      </c>
      <c r="X6" s="136" t="s">
        <v>90</v>
      </c>
    </row>
    <row r="7" spans="1:24" ht="12.75" hidden="1">
      <c r="A7" s="3"/>
      <c r="B7" s="4"/>
      <c r="C7" s="4"/>
      <c r="D7" s="6"/>
      <c r="E7" s="138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</row>
    <row r="8" spans="1:33" ht="12.75">
      <c r="A8" s="271" t="s">
        <v>91</v>
      </c>
      <c r="B8" s="272" t="s">
        <v>52</v>
      </c>
      <c r="C8" s="284" t="s">
        <v>53</v>
      </c>
      <c r="D8" s="273"/>
      <c r="E8" s="274"/>
      <c r="F8" s="275"/>
      <c r="G8" s="275">
        <f>SUMIF(AG9:AG43,"&lt;&gt;NOR",G9:G43)</f>
        <v>0</v>
      </c>
      <c r="H8" s="275"/>
      <c r="I8" s="275">
        <f>SUM(I9:I43)</f>
        <v>84</v>
      </c>
      <c r="J8" s="275"/>
      <c r="K8" s="275">
        <f>SUM(K9:K43)</f>
        <v>184773.30000000002</v>
      </c>
      <c r="L8" s="275"/>
      <c r="M8" s="275">
        <f>SUM(M9:M43)</f>
        <v>0</v>
      </c>
      <c r="N8" s="275"/>
      <c r="O8" s="275">
        <f>SUM(O9:O43)</f>
        <v>0</v>
      </c>
      <c r="P8" s="275"/>
      <c r="Q8" s="275">
        <f>SUM(Q9:Q43)</f>
        <v>7.48</v>
      </c>
      <c r="R8" s="275"/>
      <c r="S8" s="275"/>
      <c r="T8" s="276"/>
      <c r="U8" s="147"/>
      <c r="V8" s="147">
        <f>SUM(V9:V43)</f>
        <v>72.30000000000001</v>
      </c>
      <c r="W8" s="147"/>
      <c r="X8" s="147"/>
      <c r="Z8" s="263"/>
      <c r="AG8" s="261" t="s">
        <v>92</v>
      </c>
    </row>
    <row r="9" spans="1:60" ht="22.5" outlineLevel="1">
      <c r="A9" s="277">
        <v>1</v>
      </c>
      <c r="B9" s="296" t="s">
        <v>202</v>
      </c>
      <c r="C9" s="285" t="s">
        <v>203</v>
      </c>
      <c r="D9" s="279" t="s">
        <v>97</v>
      </c>
      <c r="E9" s="286">
        <v>68</v>
      </c>
      <c r="F9" s="281"/>
      <c r="G9" s="282">
        <f>ROUND(E9*F9,2)</f>
        <v>0</v>
      </c>
      <c r="H9" s="281">
        <v>0</v>
      </c>
      <c r="I9" s="282">
        <f>ROUND(E9*H9,2)</f>
        <v>0</v>
      </c>
      <c r="J9" s="281">
        <v>111</v>
      </c>
      <c r="K9" s="282">
        <f>ROUND(E9*J9,2)</f>
        <v>7548</v>
      </c>
      <c r="L9" s="282">
        <v>21</v>
      </c>
      <c r="M9" s="282">
        <f>G9*(1+L9/100)</f>
        <v>0</v>
      </c>
      <c r="N9" s="282">
        <v>0</v>
      </c>
      <c r="O9" s="282">
        <f>ROUND(E9*N9,2)</f>
        <v>0</v>
      </c>
      <c r="P9" s="282">
        <v>0.11</v>
      </c>
      <c r="Q9" s="282">
        <f>ROUND(E9*P9,2)</f>
        <v>7.48</v>
      </c>
      <c r="R9" s="282" t="s">
        <v>108</v>
      </c>
      <c r="S9" s="282" t="s">
        <v>192</v>
      </c>
      <c r="T9" s="282" t="s">
        <v>192</v>
      </c>
      <c r="U9" s="269">
        <v>0.2</v>
      </c>
      <c r="V9" s="269">
        <f>ROUND(E9*U9,2)</f>
        <v>13.6</v>
      </c>
      <c r="W9" s="269"/>
      <c r="X9" s="269" t="s">
        <v>109</v>
      </c>
      <c r="Y9" s="266"/>
      <c r="Z9" s="266"/>
      <c r="AA9" s="266"/>
      <c r="AB9" s="266"/>
      <c r="AC9" s="266"/>
      <c r="AD9" s="266"/>
      <c r="AE9" s="266"/>
      <c r="AF9" s="266"/>
      <c r="AG9" s="266" t="s">
        <v>110</v>
      </c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</row>
    <row r="10" spans="1:60" ht="12.75" outlineLevel="1">
      <c r="A10" s="267"/>
      <c r="B10" s="268"/>
      <c r="C10" s="449"/>
      <c r="D10" s="450"/>
      <c r="E10" s="450"/>
      <c r="F10" s="450"/>
      <c r="G10" s="450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6"/>
      <c r="Z10" s="266"/>
      <c r="AA10" s="266"/>
      <c r="AB10" s="266"/>
      <c r="AC10" s="266"/>
      <c r="AD10" s="266"/>
      <c r="AE10" s="266"/>
      <c r="AF10" s="266"/>
      <c r="AG10" s="266" t="s">
        <v>93</v>
      </c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</row>
    <row r="11" spans="1:60" ht="12.75" outlineLevel="1">
      <c r="A11" s="277">
        <v>2</v>
      </c>
      <c r="B11" s="278" t="s">
        <v>146</v>
      </c>
      <c r="C11" s="285" t="s">
        <v>201</v>
      </c>
      <c r="D11" s="279" t="s">
        <v>114</v>
      </c>
      <c r="E11" s="286">
        <v>52</v>
      </c>
      <c r="F11" s="281"/>
      <c r="G11" s="282">
        <f>ROUND(E11*F11,2)</f>
        <v>0</v>
      </c>
      <c r="H11" s="281">
        <v>0</v>
      </c>
      <c r="I11" s="282">
        <f>ROUND(E11*H11,2)</f>
        <v>0</v>
      </c>
      <c r="J11" s="281">
        <v>191.5</v>
      </c>
      <c r="K11" s="282">
        <f>ROUND(E11*J11,2)</f>
        <v>9958</v>
      </c>
      <c r="L11" s="282">
        <v>21</v>
      </c>
      <c r="M11" s="282">
        <f>G11*(1+L11/100)</f>
        <v>0</v>
      </c>
      <c r="N11" s="282">
        <v>0</v>
      </c>
      <c r="O11" s="282">
        <f>ROUND(E11*N11,2)</f>
        <v>0</v>
      </c>
      <c r="P11" s="282">
        <v>0</v>
      </c>
      <c r="Q11" s="282">
        <f>ROUND(E11*P11,2)</f>
        <v>0</v>
      </c>
      <c r="R11" s="282" t="s">
        <v>113</v>
      </c>
      <c r="S11" s="282" t="s">
        <v>192</v>
      </c>
      <c r="T11" s="282" t="s">
        <v>192</v>
      </c>
      <c r="U11" s="269">
        <v>0.368</v>
      </c>
      <c r="V11" s="269">
        <f>ROUND(E11*U11,2)</f>
        <v>19.14</v>
      </c>
      <c r="W11" s="269"/>
      <c r="X11" s="269" t="s">
        <v>109</v>
      </c>
      <c r="Y11" s="266"/>
      <c r="Z11" s="266"/>
      <c r="AA11" s="266"/>
      <c r="AB11" s="266"/>
      <c r="AC11" s="266"/>
      <c r="AD11" s="266"/>
      <c r="AE11" s="266"/>
      <c r="AF11" s="266"/>
      <c r="AG11" s="266" t="s">
        <v>110</v>
      </c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</row>
    <row r="12" spans="1:60" ht="12.75" outlineLevel="1">
      <c r="A12" s="267"/>
      <c r="B12" s="268"/>
      <c r="C12" s="447"/>
      <c r="D12" s="448"/>
      <c r="E12" s="448"/>
      <c r="F12" s="448"/>
      <c r="G12" s="448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6"/>
      <c r="Z12" s="266"/>
      <c r="AA12" s="266"/>
      <c r="AB12" s="266"/>
      <c r="AC12" s="266"/>
      <c r="AD12" s="266"/>
      <c r="AE12" s="266"/>
      <c r="AF12" s="266"/>
      <c r="AG12" s="266" t="s">
        <v>93</v>
      </c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</row>
    <row r="13" spans="1:60" ht="12.75" outlineLevel="1">
      <c r="A13" s="277">
        <v>3</v>
      </c>
      <c r="B13" s="278" t="s">
        <v>115</v>
      </c>
      <c r="C13" s="285" t="s">
        <v>225</v>
      </c>
      <c r="D13" s="279" t="s">
        <v>114</v>
      </c>
      <c r="E13" s="286">
        <f>E11*0.65</f>
        <v>33.800000000000004</v>
      </c>
      <c r="F13" s="281"/>
      <c r="G13" s="282">
        <f>ROUND(E13*F13,2)</f>
        <v>0</v>
      </c>
      <c r="H13" s="281">
        <v>0</v>
      </c>
      <c r="I13" s="282">
        <f>ROUND(E13*H13,2)</f>
        <v>0</v>
      </c>
      <c r="J13" s="281">
        <v>38.3</v>
      </c>
      <c r="K13" s="282">
        <f>ROUND(E13*J13,2)</f>
        <v>1294.54</v>
      </c>
      <c r="L13" s="282">
        <v>21</v>
      </c>
      <c r="M13" s="282">
        <f>G13*(1+L13/100)</f>
        <v>0</v>
      </c>
      <c r="N13" s="282">
        <v>0</v>
      </c>
      <c r="O13" s="282">
        <f>ROUND(E13*N13,2)</f>
        <v>0</v>
      </c>
      <c r="P13" s="282">
        <v>0</v>
      </c>
      <c r="Q13" s="282">
        <f>ROUND(E13*P13,2)</f>
        <v>0</v>
      </c>
      <c r="R13" s="282" t="s">
        <v>113</v>
      </c>
      <c r="S13" s="282" t="s">
        <v>192</v>
      </c>
      <c r="T13" s="282" t="s">
        <v>192</v>
      </c>
      <c r="U13" s="269">
        <v>0.058</v>
      </c>
      <c r="V13" s="269">
        <f>ROUND(E13*U13,2)</f>
        <v>1.96</v>
      </c>
      <c r="W13" s="269"/>
      <c r="X13" s="269" t="s">
        <v>109</v>
      </c>
      <c r="Y13" s="266"/>
      <c r="Z13" s="266"/>
      <c r="AA13" s="266"/>
      <c r="AB13" s="266"/>
      <c r="AC13" s="266"/>
      <c r="AD13" s="266"/>
      <c r="AE13" s="266"/>
      <c r="AF13" s="266"/>
      <c r="AG13" s="266" t="s">
        <v>110</v>
      </c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</row>
    <row r="14" spans="1:60" ht="12.75" outlineLevel="1">
      <c r="A14" s="267"/>
      <c r="B14" s="268"/>
      <c r="C14" s="447"/>
      <c r="D14" s="448"/>
      <c r="E14" s="448"/>
      <c r="F14" s="448"/>
      <c r="G14" s="448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6"/>
      <c r="Z14" s="266"/>
      <c r="AA14" s="266"/>
      <c r="AB14" s="266"/>
      <c r="AC14" s="266"/>
      <c r="AD14" s="266"/>
      <c r="AE14" s="266"/>
      <c r="AF14" s="266"/>
      <c r="AG14" s="266" t="s">
        <v>93</v>
      </c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</row>
    <row r="15" spans="1:60" ht="12.75" outlineLevel="1">
      <c r="A15" s="277">
        <v>4</v>
      </c>
      <c r="B15" s="296" t="s">
        <v>227</v>
      </c>
      <c r="C15" s="285" t="s">
        <v>226</v>
      </c>
      <c r="D15" s="279" t="s">
        <v>114</v>
      </c>
      <c r="E15" s="286">
        <f>33+40</f>
        <v>73</v>
      </c>
      <c r="F15" s="281"/>
      <c r="G15" s="282">
        <f>ROUND(E15*F15,2)</f>
        <v>0</v>
      </c>
      <c r="H15" s="281">
        <v>0</v>
      </c>
      <c r="I15" s="282">
        <f>ROUND(E15*H15,2)</f>
        <v>0</v>
      </c>
      <c r="J15" s="281">
        <v>191.5</v>
      </c>
      <c r="K15" s="282">
        <f>ROUND(E15*J15,2)</f>
        <v>13979.5</v>
      </c>
      <c r="L15" s="282">
        <v>21</v>
      </c>
      <c r="M15" s="282">
        <f>G15*(1+L15/100)</f>
        <v>0</v>
      </c>
      <c r="N15" s="282">
        <v>0</v>
      </c>
      <c r="O15" s="282">
        <f>ROUND(E15*N15,2)</f>
        <v>0</v>
      </c>
      <c r="P15" s="282">
        <v>0</v>
      </c>
      <c r="Q15" s="282">
        <f>ROUND(E15*P15,2)</f>
        <v>0</v>
      </c>
      <c r="R15" s="282" t="s">
        <v>113</v>
      </c>
      <c r="S15" s="282" t="s">
        <v>192</v>
      </c>
      <c r="T15" s="282" t="s">
        <v>192</v>
      </c>
      <c r="U15" s="269"/>
      <c r="V15" s="269"/>
      <c r="W15" s="269"/>
      <c r="X15" s="269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</row>
    <row r="16" spans="1:60" ht="25.5" customHeight="1" outlineLevel="1">
      <c r="A16" s="267"/>
      <c r="B16" s="243"/>
      <c r="C16" s="445" t="s">
        <v>183</v>
      </c>
      <c r="D16" s="446"/>
      <c r="E16" s="446"/>
      <c r="F16" s="446"/>
      <c r="G16" s="446"/>
      <c r="H16" s="270"/>
      <c r="I16" s="269"/>
      <c r="J16" s="270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</row>
    <row r="17" spans="1:60" ht="12.75" outlineLevel="1">
      <c r="A17" s="267"/>
      <c r="B17" s="268"/>
      <c r="C17" s="447"/>
      <c r="D17" s="448"/>
      <c r="E17" s="448"/>
      <c r="F17" s="448"/>
      <c r="G17" s="448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</row>
    <row r="18" spans="1:60" ht="12.75" outlineLevel="1">
      <c r="A18" s="277">
        <v>5</v>
      </c>
      <c r="B18" s="278" t="s">
        <v>220</v>
      </c>
      <c r="C18" s="285" t="s">
        <v>219</v>
      </c>
      <c r="D18" s="279" t="s">
        <v>114</v>
      </c>
      <c r="E18" s="280">
        <f>E15*0.85</f>
        <v>62.05</v>
      </c>
      <c r="F18" s="281"/>
      <c r="G18" s="282">
        <f>ROUND(E18*F18,2)</f>
        <v>0</v>
      </c>
      <c r="H18" s="281">
        <v>0</v>
      </c>
      <c r="I18" s="282">
        <f>ROUND(E18*H18,2)</f>
        <v>0</v>
      </c>
      <c r="J18" s="281">
        <v>38.3</v>
      </c>
      <c r="K18" s="282">
        <f>ROUND(E18*J18,2)</f>
        <v>2376.52</v>
      </c>
      <c r="L18" s="282">
        <v>21</v>
      </c>
      <c r="M18" s="282">
        <f>G18*(1+L18/100)</f>
        <v>0</v>
      </c>
      <c r="N18" s="282">
        <v>0</v>
      </c>
      <c r="O18" s="282">
        <f>ROUND(E18*N18,2)</f>
        <v>0</v>
      </c>
      <c r="P18" s="282">
        <v>0</v>
      </c>
      <c r="Q18" s="282">
        <f>ROUND(E18*P18,2)</f>
        <v>0</v>
      </c>
      <c r="R18" s="282" t="s">
        <v>113</v>
      </c>
      <c r="S18" s="282" t="s">
        <v>192</v>
      </c>
      <c r="T18" s="282" t="s">
        <v>192</v>
      </c>
      <c r="U18" s="269"/>
      <c r="V18" s="269"/>
      <c r="W18" s="269"/>
      <c r="X18" s="269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</row>
    <row r="19" spans="1:60" ht="12.75" outlineLevel="1">
      <c r="A19" s="267"/>
      <c r="B19" s="268"/>
      <c r="C19" s="447"/>
      <c r="D19" s="448"/>
      <c r="E19" s="448"/>
      <c r="F19" s="448"/>
      <c r="G19" s="448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</row>
    <row r="20" spans="1:60" ht="12.75" outlineLevel="1">
      <c r="A20" s="277">
        <v>6</v>
      </c>
      <c r="B20" s="278" t="s">
        <v>164</v>
      </c>
      <c r="C20" s="285" t="s">
        <v>165</v>
      </c>
      <c r="D20" s="279" t="s">
        <v>114</v>
      </c>
      <c r="E20" s="286">
        <v>9.85</v>
      </c>
      <c r="F20" s="281"/>
      <c r="G20" s="282">
        <f>ROUND(E20*F20,2)</f>
        <v>0</v>
      </c>
      <c r="H20" s="281">
        <v>0</v>
      </c>
      <c r="I20" s="282">
        <f>ROUND(E20*H20,2)</f>
        <v>0</v>
      </c>
      <c r="J20" s="281">
        <v>1273</v>
      </c>
      <c r="K20" s="282">
        <f>ROUND(E20*J20,2)</f>
        <v>12539.05</v>
      </c>
      <c r="L20" s="282">
        <v>21</v>
      </c>
      <c r="M20" s="282">
        <f>G20*(1+L20/100)</f>
        <v>0</v>
      </c>
      <c r="N20" s="282">
        <v>0</v>
      </c>
      <c r="O20" s="282">
        <f>ROUND(E20*N20,2)</f>
        <v>0</v>
      </c>
      <c r="P20" s="282">
        <v>0</v>
      </c>
      <c r="Q20" s="282">
        <f>ROUND(E20*P20,2)</f>
        <v>0</v>
      </c>
      <c r="R20" s="282" t="s">
        <v>113</v>
      </c>
      <c r="S20" s="282" t="s">
        <v>192</v>
      </c>
      <c r="T20" s="282" t="s">
        <v>192</v>
      </c>
      <c r="U20" s="269"/>
      <c r="V20" s="269"/>
      <c r="W20" s="269"/>
      <c r="X20" s="269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</row>
    <row r="21" spans="1:60" ht="12.75" outlineLevel="1">
      <c r="A21" s="267"/>
      <c r="B21" s="268"/>
      <c r="C21" s="445" t="s">
        <v>166</v>
      </c>
      <c r="D21" s="446"/>
      <c r="E21" s="446"/>
      <c r="F21" s="446"/>
      <c r="G21" s="446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</row>
    <row r="22" spans="1:60" ht="12.75" outlineLevel="1">
      <c r="A22" s="267"/>
      <c r="B22" s="268"/>
      <c r="C22" s="325"/>
      <c r="D22" s="326"/>
      <c r="E22" s="326"/>
      <c r="F22" s="326"/>
      <c r="G22" s="326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</row>
    <row r="23" spans="1:60" ht="22.5" outlineLevel="1">
      <c r="A23" s="277">
        <v>7</v>
      </c>
      <c r="B23" s="341" t="s">
        <v>116</v>
      </c>
      <c r="C23" s="309" t="s">
        <v>282</v>
      </c>
      <c r="D23" s="310" t="s">
        <v>114</v>
      </c>
      <c r="E23" s="311">
        <f>E11+E15+E20</f>
        <v>134.85</v>
      </c>
      <c r="F23" s="312"/>
      <c r="G23" s="313">
        <f>ROUND(E23*F23,2)</f>
        <v>0</v>
      </c>
      <c r="H23" s="312">
        <v>0</v>
      </c>
      <c r="I23" s="313">
        <f>ROUND(E23*H23,2)</f>
        <v>0</v>
      </c>
      <c r="J23" s="312">
        <v>259.5</v>
      </c>
      <c r="K23" s="313">
        <f>ROUND(E23*J23,2)</f>
        <v>34993.58</v>
      </c>
      <c r="L23" s="313">
        <v>21</v>
      </c>
      <c r="M23" s="313">
        <f>G23*(1+L23/100)</f>
        <v>0</v>
      </c>
      <c r="N23" s="313">
        <v>0</v>
      </c>
      <c r="O23" s="313">
        <f>ROUND(E23*N23,2)</f>
        <v>0</v>
      </c>
      <c r="P23" s="313">
        <v>0</v>
      </c>
      <c r="Q23" s="313">
        <f>ROUND(E23*P23,2)</f>
        <v>0</v>
      </c>
      <c r="R23" s="313" t="s">
        <v>113</v>
      </c>
      <c r="S23" s="282" t="s">
        <v>192</v>
      </c>
      <c r="T23" s="282" t="s">
        <v>192</v>
      </c>
      <c r="U23" s="269">
        <v>0.0052</v>
      </c>
      <c r="V23" s="269">
        <f>ROUND(E23*U23,2)</f>
        <v>0.7</v>
      </c>
      <c r="W23" s="269"/>
      <c r="X23" s="269" t="s">
        <v>109</v>
      </c>
      <c r="Y23" s="266"/>
      <c r="Z23" s="266"/>
      <c r="AA23" s="266"/>
      <c r="AB23" s="266"/>
      <c r="AC23" s="266"/>
      <c r="AD23" s="266"/>
      <c r="AE23" s="266"/>
      <c r="AF23" s="266"/>
      <c r="AG23" s="266" t="s">
        <v>110</v>
      </c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</row>
    <row r="24" spans="1:60" ht="12.75" customHeight="1" outlineLevel="1">
      <c r="A24" s="267"/>
      <c r="B24" s="268"/>
      <c r="C24" s="445" t="s">
        <v>117</v>
      </c>
      <c r="D24" s="446"/>
      <c r="E24" s="446"/>
      <c r="F24" s="446"/>
      <c r="G24" s="446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6"/>
      <c r="Z24" s="266"/>
      <c r="AA24" s="266"/>
      <c r="AB24" s="266"/>
      <c r="AC24" s="266"/>
      <c r="AD24" s="266"/>
      <c r="AE24" s="266"/>
      <c r="AF24" s="266"/>
      <c r="AG24" s="266" t="s">
        <v>111</v>
      </c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</row>
    <row r="25" spans="1:60" ht="12.75" outlineLevel="1">
      <c r="A25" s="267"/>
      <c r="B25" s="268"/>
      <c r="C25" s="447"/>
      <c r="D25" s="448"/>
      <c r="E25" s="448"/>
      <c r="F25" s="448"/>
      <c r="G25" s="448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6"/>
      <c r="Z25" s="266"/>
      <c r="AA25" s="266"/>
      <c r="AB25" s="266"/>
      <c r="AC25" s="266"/>
      <c r="AD25" s="266"/>
      <c r="AE25" s="266"/>
      <c r="AF25" s="266"/>
      <c r="AG25" s="266" t="s">
        <v>93</v>
      </c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</row>
    <row r="26" spans="1:60" ht="22.5" outlineLevel="1">
      <c r="A26" s="277">
        <v>8</v>
      </c>
      <c r="B26" s="341" t="s">
        <v>283</v>
      </c>
      <c r="C26" s="309" t="s">
        <v>284</v>
      </c>
      <c r="D26" s="310" t="s">
        <v>114</v>
      </c>
      <c r="E26" s="311">
        <f>E23*8</f>
        <v>1078.8</v>
      </c>
      <c r="F26" s="312"/>
      <c r="G26" s="313">
        <f>ROUND(E26*F26,2)</f>
        <v>0</v>
      </c>
      <c r="H26" s="312">
        <v>0</v>
      </c>
      <c r="I26" s="313">
        <f>ROUND(E26*H26,2)</f>
        <v>0</v>
      </c>
      <c r="J26" s="312">
        <v>20.6</v>
      </c>
      <c r="K26" s="313">
        <f>ROUND(E26*J26,2)</f>
        <v>22223.28</v>
      </c>
      <c r="L26" s="313">
        <v>21</v>
      </c>
      <c r="M26" s="313">
        <f>G26*(1+L26/100)</f>
        <v>0</v>
      </c>
      <c r="N26" s="313">
        <v>0</v>
      </c>
      <c r="O26" s="313">
        <f>ROUND(E26*N26,2)</f>
        <v>0</v>
      </c>
      <c r="P26" s="313">
        <v>0</v>
      </c>
      <c r="Q26" s="313">
        <f>ROUND(E26*P26,2)</f>
        <v>0</v>
      </c>
      <c r="R26" s="313" t="s">
        <v>113</v>
      </c>
      <c r="S26" s="282" t="s">
        <v>192</v>
      </c>
      <c r="T26" s="282" t="s">
        <v>192</v>
      </c>
      <c r="U26" s="269"/>
      <c r="V26" s="269"/>
      <c r="W26" s="269"/>
      <c r="X26" s="269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</row>
    <row r="27" spans="1:60" ht="12.75" customHeight="1" outlineLevel="1">
      <c r="A27" s="267"/>
      <c r="B27" s="268"/>
      <c r="C27" s="445" t="s">
        <v>117</v>
      </c>
      <c r="D27" s="446"/>
      <c r="E27" s="446"/>
      <c r="F27" s="446"/>
      <c r="G27" s="446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</row>
    <row r="28" spans="1:60" ht="12.75" outlineLevel="1">
      <c r="A28" s="267"/>
      <c r="B28" s="268"/>
      <c r="C28" s="447"/>
      <c r="D28" s="448"/>
      <c r="E28" s="448"/>
      <c r="F28" s="448"/>
      <c r="G28" s="448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</row>
    <row r="29" spans="1:60" ht="12.75" outlineLevel="1">
      <c r="A29" s="277">
        <v>9</v>
      </c>
      <c r="B29" s="278" t="s">
        <v>118</v>
      </c>
      <c r="C29" s="285" t="s">
        <v>157</v>
      </c>
      <c r="D29" s="279" t="s">
        <v>114</v>
      </c>
      <c r="E29" s="280">
        <f>E11</f>
        <v>52</v>
      </c>
      <c r="F29" s="281"/>
      <c r="G29" s="282">
        <f>ROUND(E29*F29,2)</f>
        <v>0</v>
      </c>
      <c r="H29" s="281">
        <v>0</v>
      </c>
      <c r="I29" s="282">
        <f>ROUND(E29*H29,2)</f>
        <v>0</v>
      </c>
      <c r="J29" s="281">
        <v>265</v>
      </c>
      <c r="K29" s="282">
        <f>ROUND(E29*J29,2)</f>
        <v>13780</v>
      </c>
      <c r="L29" s="282">
        <v>21</v>
      </c>
      <c r="M29" s="282">
        <f>G29*(1+L29/100)</f>
        <v>0</v>
      </c>
      <c r="N29" s="282">
        <v>0</v>
      </c>
      <c r="O29" s="282">
        <f>ROUND(E29*N29,2)</f>
        <v>0</v>
      </c>
      <c r="P29" s="282">
        <v>0</v>
      </c>
      <c r="Q29" s="282">
        <f>ROUND(E29*P29,2)</f>
        <v>0</v>
      </c>
      <c r="R29" s="282" t="s">
        <v>113</v>
      </c>
      <c r="S29" s="282" t="s">
        <v>192</v>
      </c>
      <c r="T29" s="282" t="s">
        <v>192</v>
      </c>
      <c r="U29" s="269">
        <v>0.652</v>
      </c>
      <c r="V29" s="269">
        <f>ROUND(E29*U29,2)</f>
        <v>33.9</v>
      </c>
      <c r="W29" s="269"/>
      <c r="X29" s="269" t="s">
        <v>109</v>
      </c>
      <c r="Y29" s="266"/>
      <c r="Z29" s="266"/>
      <c r="AA29" s="266"/>
      <c r="AB29" s="266"/>
      <c r="AC29" s="266"/>
      <c r="AD29" s="266"/>
      <c r="AE29" s="266"/>
      <c r="AF29" s="266"/>
      <c r="AG29" s="266" t="s">
        <v>110</v>
      </c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</row>
    <row r="30" spans="1:60" ht="12.75" outlineLevel="1">
      <c r="A30" s="267"/>
      <c r="B30" s="268"/>
      <c r="C30" s="449"/>
      <c r="D30" s="450"/>
      <c r="E30" s="450"/>
      <c r="F30" s="450"/>
      <c r="G30" s="450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6"/>
      <c r="Z30" s="266"/>
      <c r="AA30" s="266"/>
      <c r="AB30" s="266"/>
      <c r="AC30" s="266"/>
      <c r="AD30" s="266"/>
      <c r="AE30" s="266"/>
      <c r="AF30" s="266"/>
      <c r="AG30" s="266" t="s">
        <v>93</v>
      </c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</row>
    <row r="31" spans="1:60" ht="12.75" outlineLevel="1">
      <c r="A31" s="277">
        <v>10</v>
      </c>
      <c r="B31" s="278" t="s">
        <v>182</v>
      </c>
      <c r="C31" s="285" t="s">
        <v>285</v>
      </c>
      <c r="D31" s="279" t="s">
        <v>114</v>
      </c>
      <c r="E31" s="286">
        <v>32</v>
      </c>
      <c r="F31" s="281"/>
      <c r="G31" s="282">
        <f>E31*F31</f>
        <v>0</v>
      </c>
      <c r="H31" s="281">
        <v>0</v>
      </c>
      <c r="I31" s="282">
        <v>0</v>
      </c>
      <c r="J31" s="281">
        <v>282.5</v>
      </c>
      <c r="K31" s="282">
        <v>22882.5</v>
      </c>
      <c r="L31" s="282">
        <v>21</v>
      </c>
      <c r="M31" s="282">
        <f>G31*1.21</f>
        <v>0</v>
      </c>
      <c r="N31" s="282">
        <v>0</v>
      </c>
      <c r="O31" s="282">
        <v>0</v>
      </c>
      <c r="P31" s="282">
        <v>0</v>
      </c>
      <c r="Q31" s="282">
        <v>0</v>
      </c>
      <c r="R31" s="282" t="s">
        <v>113</v>
      </c>
      <c r="S31" s="282" t="s">
        <v>192</v>
      </c>
      <c r="T31" s="282" t="s">
        <v>192</v>
      </c>
      <c r="U31" s="269"/>
      <c r="V31" s="269"/>
      <c r="W31" s="269"/>
      <c r="X31" s="269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</row>
    <row r="32" spans="1:60" ht="22.5" outlineLevel="1">
      <c r="A32" s="267"/>
      <c r="B32" s="268"/>
      <c r="C32" s="306" t="s">
        <v>286</v>
      </c>
      <c r="D32" s="307"/>
      <c r="E32" s="308"/>
      <c r="F32" s="349"/>
      <c r="G32" s="269"/>
      <c r="H32" s="270"/>
      <c r="I32" s="269"/>
      <c r="J32" s="270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</row>
    <row r="33" spans="1:60" ht="12.75" outlineLevel="1">
      <c r="A33" s="267"/>
      <c r="B33" s="268"/>
      <c r="C33" s="325"/>
      <c r="D33" s="326"/>
      <c r="E33" s="326"/>
      <c r="F33" s="326"/>
      <c r="G33" s="326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</row>
    <row r="34" spans="1:60" ht="12.75" outlineLevel="1">
      <c r="A34" s="329">
        <v>11</v>
      </c>
      <c r="B34" s="330" t="s">
        <v>119</v>
      </c>
      <c r="C34" s="331" t="s">
        <v>154</v>
      </c>
      <c r="D34" s="332" t="s">
        <v>97</v>
      </c>
      <c r="E34" s="328">
        <v>50</v>
      </c>
      <c r="F34" s="281"/>
      <c r="G34" s="333">
        <f>ROUND(E34*F34,2)</f>
        <v>0</v>
      </c>
      <c r="H34" s="334">
        <v>1.68</v>
      </c>
      <c r="I34" s="333">
        <f>ROUND(E34*H34,2)</f>
        <v>84</v>
      </c>
      <c r="J34" s="334">
        <v>22.42</v>
      </c>
      <c r="K34" s="333">
        <f>ROUND(E34*J34,2)</f>
        <v>1121</v>
      </c>
      <c r="L34" s="333">
        <v>21</v>
      </c>
      <c r="M34" s="333">
        <f>G34*(1+L34/100)</f>
        <v>0</v>
      </c>
      <c r="N34" s="333">
        <v>0</v>
      </c>
      <c r="O34" s="333">
        <f>ROUND(E34*N34,2)</f>
        <v>0</v>
      </c>
      <c r="P34" s="333">
        <v>0</v>
      </c>
      <c r="Q34" s="333">
        <f>ROUND(E34*P34,2)</f>
        <v>0</v>
      </c>
      <c r="R34" s="333" t="s">
        <v>120</v>
      </c>
      <c r="S34" s="333" t="s">
        <v>192</v>
      </c>
      <c r="T34" s="333" t="s">
        <v>192</v>
      </c>
      <c r="U34" s="269">
        <v>0.06</v>
      </c>
      <c r="V34" s="269">
        <f>ROUND(E34*U34,2)</f>
        <v>3</v>
      </c>
      <c r="W34" s="269"/>
      <c r="X34" s="269" t="s">
        <v>109</v>
      </c>
      <c r="Y34" s="266"/>
      <c r="Z34" s="266"/>
      <c r="AA34" s="266"/>
      <c r="AB34" s="266"/>
      <c r="AC34" s="266"/>
      <c r="AD34" s="266"/>
      <c r="AE34" s="266"/>
      <c r="AF34" s="266"/>
      <c r="AG34" s="266" t="s">
        <v>110</v>
      </c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</row>
    <row r="35" spans="1:60" ht="12.75" outlineLevel="1">
      <c r="A35" s="267"/>
      <c r="B35" s="268"/>
      <c r="C35" s="445" t="s">
        <v>121</v>
      </c>
      <c r="D35" s="446"/>
      <c r="E35" s="446"/>
      <c r="F35" s="446"/>
      <c r="G35" s="446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6"/>
      <c r="Z35" s="266"/>
      <c r="AA35" s="266"/>
      <c r="AB35" s="266"/>
      <c r="AC35" s="266"/>
      <c r="AD35" s="266"/>
      <c r="AE35" s="266"/>
      <c r="AF35" s="266"/>
      <c r="AG35" s="266" t="s">
        <v>111</v>
      </c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</row>
    <row r="36" spans="1:60" ht="12.75" outlineLevel="1">
      <c r="A36" s="267"/>
      <c r="B36" s="268"/>
      <c r="C36" s="447"/>
      <c r="D36" s="448"/>
      <c r="E36" s="448"/>
      <c r="F36" s="448"/>
      <c r="G36" s="448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6"/>
      <c r="Z36" s="266"/>
      <c r="AA36" s="266"/>
      <c r="AB36" s="266"/>
      <c r="AC36" s="266"/>
      <c r="AD36" s="266"/>
      <c r="AE36" s="266"/>
      <c r="AF36" s="266"/>
      <c r="AG36" s="266" t="s">
        <v>93</v>
      </c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</row>
    <row r="37" spans="1:60" ht="12.75" outlineLevel="1">
      <c r="A37" s="329">
        <v>12</v>
      </c>
      <c r="B37" s="330" t="s">
        <v>177</v>
      </c>
      <c r="C37" s="331" t="s">
        <v>168</v>
      </c>
      <c r="D37" s="332" t="s">
        <v>97</v>
      </c>
      <c r="E37" s="328">
        <f>E34</f>
        <v>50</v>
      </c>
      <c r="F37" s="281"/>
      <c r="G37" s="333">
        <f>ROUND(E37*F37,2)</f>
        <v>0</v>
      </c>
      <c r="H37" s="334">
        <v>0</v>
      </c>
      <c r="I37" s="333">
        <f>ROUND(E37*H37,2)</f>
        <v>0</v>
      </c>
      <c r="J37" s="334">
        <v>17.4</v>
      </c>
      <c r="K37" s="333">
        <f>ROUND(E37*J37,2)</f>
        <v>870</v>
      </c>
      <c r="L37" s="333">
        <v>21</v>
      </c>
      <c r="M37" s="333">
        <f>G37*(1+L37/100)</f>
        <v>0</v>
      </c>
      <c r="N37" s="333">
        <v>0</v>
      </c>
      <c r="O37" s="333">
        <f>ROUND(E37*N37,2)</f>
        <v>0</v>
      </c>
      <c r="P37" s="333">
        <v>0</v>
      </c>
      <c r="Q37" s="333">
        <f>ROUND(E37*P37,2)</f>
        <v>0</v>
      </c>
      <c r="R37" s="333" t="s">
        <v>167</v>
      </c>
      <c r="S37" s="333" t="s">
        <v>192</v>
      </c>
      <c r="T37" s="333" t="s">
        <v>192</v>
      </c>
      <c r="U37" s="269"/>
      <c r="V37" s="269"/>
      <c r="W37" s="269"/>
      <c r="X37" s="269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</row>
    <row r="38" spans="1:60" ht="12.75" customHeight="1" outlineLevel="1">
      <c r="A38" s="267"/>
      <c r="B38" s="268"/>
      <c r="C38" s="445" t="s">
        <v>169</v>
      </c>
      <c r="D38" s="446"/>
      <c r="E38" s="446"/>
      <c r="F38" s="446"/>
      <c r="G38" s="446"/>
      <c r="H38" s="270"/>
      <c r="I38" s="269"/>
      <c r="J38" s="270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</row>
    <row r="39" spans="1:60" ht="12.75" outlineLevel="1">
      <c r="A39" s="267"/>
      <c r="B39" s="268"/>
      <c r="C39" s="325"/>
      <c r="D39" s="326"/>
      <c r="E39" s="326"/>
      <c r="F39" s="326"/>
      <c r="G39" s="326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</row>
    <row r="40" spans="1:60" ht="12.75" outlineLevel="1">
      <c r="A40" s="277">
        <v>13</v>
      </c>
      <c r="B40" s="278" t="s">
        <v>175</v>
      </c>
      <c r="C40" s="285" t="s">
        <v>176</v>
      </c>
      <c r="D40" s="279" t="s">
        <v>97</v>
      </c>
      <c r="E40" s="286">
        <v>234</v>
      </c>
      <c r="F40" s="281"/>
      <c r="G40" s="282">
        <f>ROUND(E40*F40,2)</f>
        <v>0</v>
      </c>
      <c r="H40" s="281">
        <v>0</v>
      </c>
      <c r="I40" s="282">
        <f>ROUND(E40*H40,2)</f>
        <v>0</v>
      </c>
      <c r="J40" s="281">
        <v>13.3</v>
      </c>
      <c r="K40" s="282">
        <f>ROUND(E40*J40,2)</f>
        <v>3112.2</v>
      </c>
      <c r="L40" s="282">
        <v>21</v>
      </c>
      <c r="M40" s="282">
        <f>G40*(1+L40/100)</f>
        <v>0</v>
      </c>
      <c r="N40" s="282">
        <v>0</v>
      </c>
      <c r="O40" s="282">
        <f>ROUND(E40*N40,2)</f>
        <v>0</v>
      </c>
      <c r="P40" s="282">
        <v>0</v>
      </c>
      <c r="Q40" s="282">
        <f>ROUND(E40*P40,2)</f>
        <v>0</v>
      </c>
      <c r="R40" s="282" t="s">
        <v>113</v>
      </c>
      <c r="S40" s="282" t="s">
        <v>192</v>
      </c>
      <c r="T40" s="282" t="s">
        <v>192</v>
      </c>
      <c r="U40" s="269"/>
      <c r="V40" s="269"/>
      <c r="W40" s="269"/>
      <c r="X40" s="269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</row>
    <row r="41" spans="1:60" ht="12.75" outlineLevel="1">
      <c r="A41" s="267"/>
      <c r="B41" s="268"/>
      <c r="C41" s="325"/>
      <c r="D41" s="326"/>
      <c r="E41" s="326"/>
      <c r="F41" s="326"/>
      <c r="G41" s="326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</row>
    <row r="42" spans="1:60" ht="12.75" outlineLevel="1">
      <c r="A42" s="277">
        <v>14</v>
      </c>
      <c r="B42" s="278" t="s">
        <v>122</v>
      </c>
      <c r="C42" s="285" t="s">
        <v>123</v>
      </c>
      <c r="D42" s="279" t="s">
        <v>114</v>
      </c>
      <c r="E42" s="280">
        <f>E23</f>
        <v>134.85</v>
      </c>
      <c r="F42" s="281"/>
      <c r="G42" s="282">
        <f>ROUND(E42*F42,2)</f>
        <v>0</v>
      </c>
      <c r="H42" s="281">
        <v>0</v>
      </c>
      <c r="I42" s="282">
        <f>ROUND(E42*H42,2)</f>
        <v>0</v>
      </c>
      <c r="J42" s="281">
        <v>282.5</v>
      </c>
      <c r="K42" s="282">
        <f>ROUND(E42*J42,2)</f>
        <v>38095.13</v>
      </c>
      <c r="L42" s="282">
        <v>21</v>
      </c>
      <c r="M42" s="282">
        <f>G42*(1+L42/100)</f>
        <v>0</v>
      </c>
      <c r="N42" s="282">
        <v>0</v>
      </c>
      <c r="O42" s="282">
        <f>ROUND(E42*N42,2)</f>
        <v>0</v>
      </c>
      <c r="P42" s="282">
        <v>0</v>
      </c>
      <c r="Q42" s="282">
        <f>ROUND(E42*P42,2)</f>
        <v>0</v>
      </c>
      <c r="R42" s="282" t="s">
        <v>113</v>
      </c>
      <c r="S42" s="282" t="s">
        <v>192</v>
      </c>
      <c r="T42" s="282" t="s">
        <v>192</v>
      </c>
      <c r="U42" s="269">
        <v>0</v>
      </c>
      <c r="V42" s="269">
        <f>ROUND(E42*U42,2)</f>
        <v>0</v>
      </c>
      <c r="W42" s="269"/>
      <c r="X42" s="269" t="s">
        <v>109</v>
      </c>
      <c r="Y42" s="266"/>
      <c r="Z42" s="266"/>
      <c r="AA42" s="266"/>
      <c r="AB42" s="266"/>
      <c r="AC42" s="266"/>
      <c r="AD42" s="266"/>
      <c r="AE42" s="266"/>
      <c r="AF42" s="266"/>
      <c r="AG42" s="266" t="s">
        <v>110</v>
      </c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</row>
    <row r="43" spans="1:60" ht="12.75" outlineLevel="1">
      <c r="A43" s="267"/>
      <c r="B43" s="268"/>
      <c r="C43" s="449"/>
      <c r="D43" s="450"/>
      <c r="E43" s="450"/>
      <c r="F43" s="450"/>
      <c r="G43" s="450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6"/>
      <c r="Z43" s="266"/>
      <c r="AA43" s="266"/>
      <c r="AB43" s="266"/>
      <c r="AC43" s="266"/>
      <c r="AD43" s="266"/>
      <c r="AE43" s="266"/>
      <c r="AF43" s="266"/>
      <c r="AG43" s="266" t="s">
        <v>93</v>
      </c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</row>
    <row r="44" spans="1:33" ht="12.75">
      <c r="A44" s="271" t="s">
        <v>91</v>
      </c>
      <c r="B44" s="272" t="s">
        <v>54</v>
      </c>
      <c r="C44" s="284" t="s">
        <v>55</v>
      </c>
      <c r="D44" s="273"/>
      <c r="E44" s="274"/>
      <c r="F44" s="275"/>
      <c r="G44" s="275">
        <f>G45+G47+G49+G51+G53+G56+G58</f>
        <v>0</v>
      </c>
      <c r="H44" s="275"/>
      <c r="I44" s="275">
        <f>SUM(I47:I56)</f>
        <v>97535.31999999999</v>
      </c>
      <c r="J44" s="275"/>
      <c r="K44" s="275">
        <f>SUM(K47:K56)</f>
        <v>47514.18</v>
      </c>
      <c r="L44" s="275"/>
      <c r="M44" s="275">
        <f>M45+M47+M49+M51+M53+M56+M58</f>
        <v>0</v>
      </c>
      <c r="N44" s="275"/>
      <c r="O44" s="275">
        <f>SUM(O47:O56)</f>
        <v>154.75</v>
      </c>
      <c r="P44" s="275"/>
      <c r="Q44" s="275">
        <f>SUM(Q47:Q56)</f>
        <v>0</v>
      </c>
      <c r="R44" s="275"/>
      <c r="S44" s="275"/>
      <c r="T44" s="276"/>
      <c r="U44" s="147"/>
      <c r="V44" s="147">
        <f>SUM(V47:V56)</f>
        <v>0</v>
      </c>
      <c r="W44" s="147"/>
      <c r="X44" s="147"/>
      <c r="Y44" s="263"/>
      <c r="AG44" s="261" t="s">
        <v>92</v>
      </c>
    </row>
    <row r="45" spans="1:25" ht="12.75">
      <c r="A45" s="277">
        <v>15</v>
      </c>
      <c r="B45" s="296" t="s">
        <v>294</v>
      </c>
      <c r="C45" s="285" t="s">
        <v>293</v>
      </c>
      <c r="D45" s="279" t="s">
        <v>114</v>
      </c>
      <c r="E45" s="286">
        <v>9</v>
      </c>
      <c r="F45" s="281"/>
      <c r="G45" s="282">
        <f>ROUND(E45*F45,2)</f>
        <v>0</v>
      </c>
      <c r="H45" s="281">
        <v>164.95</v>
      </c>
      <c r="I45" s="282">
        <f>ROUND(E45*H45,2)</f>
        <v>1484.55</v>
      </c>
      <c r="J45" s="281">
        <v>26.05</v>
      </c>
      <c r="K45" s="282">
        <f>ROUND(E45*J45,2)</f>
        <v>234.45</v>
      </c>
      <c r="L45" s="282">
        <v>21</v>
      </c>
      <c r="M45" s="282">
        <f>G45*(1+L45/100)</f>
        <v>0</v>
      </c>
      <c r="N45" s="282">
        <v>0.378</v>
      </c>
      <c r="O45" s="282">
        <f>ROUND(E45*N45,2)</f>
        <v>3.4</v>
      </c>
      <c r="P45" s="282">
        <v>0</v>
      </c>
      <c r="Q45" s="282">
        <f>ROUND(E45*P45,2)</f>
        <v>0</v>
      </c>
      <c r="R45" s="282" t="s">
        <v>108</v>
      </c>
      <c r="S45" s="282" t="s">
        <v>192</v>
      </c>
      <c r="T45" s="282" t="s">
        <v>192</v>
      </c>
      <c r="U45" s="147"/>
      <c r="V45" s="147"/>
      <c r="W45" s="147"/>
      <c r="X45" s="147"/>
      <c r="Y45" s="263"/>
    </row>
    <row r="46" spans="1:25" ht="12.75">
      <c r="A46" s="267"/>
      <c r="B46" s="268"/>
      <c r="C46" s="449"/>
      <c r="D46" s="450"/>
      <c r="E46" s="450"/>
      <c r="F46" s="450"/>
      <c r="G46" s="450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147"/>
      <c r="V46" s="147"/>
      <c r="W46" s="147"/>
      <c r="X46" s="147"/>
      <c r="Y46" s="263"/>
    </row>
    <row r="47" spans="1:60" ht="22.5" outlineLevel="1">
      <c r="A47" s="277">
        <v>16</v>
      </c>
      <c r="B47" s="296" t="s">
        <v>178</v>
      </c>
      <c r="C47" s="285" t="s">
        <v>204</v>
      </c>
      <c r="D47" s="279" t="s">
        <v>97</v>
      </c>
      <c r="E47" s="286">
        <f>E53+E51</f>
        <v>209</v>
      </c>
      <c r="F47" s="281"/>
      <c r="G47" s="282">
        <f>ROUND(E47*F47,2)</f>
        <v>0</v>
      </c>
      <c r="H47" s="281">
        <v>164.95</v>
      </c>
      <c r="I47" s="282">
        <f>ROUND(E47*H47,2)</f>
        <v>34474.55</v>
      </c>
      <c r="J47" s="281">
        <v>26.05</v>
      </c>
      <c r="K47" s="282">
        <f>ROUND(E47*J47,2)</f>
        <v>5444.45</v>
      </c>
      <c r="L47" s="282">
        <v>21</v>
      </c>
      <c r="M47" s="282">
        <f>G47*(1+L47/100)</f>
        <v>0</v>
      </c>
      <c r="N47" s="282">
        <v>0.378</v>
      </c>
      <c r="O47" s="282">
        <f>ROUND(E47*N47,2)</f>
        <v>79</v>
      </c>
      <c r="P47" s="282">
        <v>0</v>
      </c>
      <c r="Q47" s="282">
        <f>ROUND(E47*P47,2)</f>
        <v>0</v>
      </c>
      <c r="R47" s="282" t="s">
        <v>108</v>
      </c>
      <c r="S47" s="282" t="s">
        <v>192</v>
      </c>
      <c r="T47" s="282" t="s">
        <v>192</v>
      </c>
      <c r="U47" s="269"/>
      <c r="V47" s="269"/>
      <c r="W47" s="269"/>
      <c r="X47" s="269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</row>
    <row r="48" spans="1:60" ht="12.75" outlineLevel="1">
      <c r="A48" s="267"/>
      <c r="B48" s="268"/>
      <c r="C48" s="323"/>
      <c r="D48" s="324"/>
      <c r="E48" s="324"/>
      <c r="F48" s="324"/>
      <c r="G48" s="324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</row>
    <row r="49" spans="1:60" ht="12.75" outlineLevel="1">
      <c r="A49" s="277">
        <v>17</v>
      </c>
      <c r="B49" s="278" t="s">
        <v>228</v>
      </c>
      <c r="C49" s="285" t="s">
        <v>229</v>
      </c>
      <c r="D49" s="279" t="s">
        <v>97</v>
      </c>
      <c r="E49" s="280">
        <f>E51</f>
        <v>119</v>
      </c>
      <c r="F49" s="281"/>
      <c r="G49" s="282">
        <f>ROUND(E49*F49,2)</f>
        <v>0</v>
      </c>
      <c r="H49" s="281">
        <v>279.17</v>
      </c>
      <c r="I49" s="282">
        <f>ROUND(E49*H49,2)</f>
        <v>33221.23</v>
      </c>
      <c r="J49" s="281">
        <v>44.33</v>
      </c>
      <c r="K49" s="282">
        <f>ROUND(E49*J49,2)</f>
        <v>5275.27</v>
      </c>
      <c r="L49" s="282">
        <v>21</v>
      </c>
      <c r="M49" s="282">
        <f>G49*(1+L49/100)</f>
        <v>0</v>
      </c>
      <c r="N49" s="282">
        <v>0.32754</v>
      </c>
      <c r="O49" s="282">
        <f>ROUND(E49*N49,2)</f>
        <v>38.98</v>
      </c>
      <c r="P49" s="282">
        <v>0</v>
      </c>
      <c r="Q49" s="282">
        <f>ROUND(E49*P49,2)</f>
        <v>0</v>
      </c>
      <c r="R49" s="282" t="s">
        <v>108</v>
      </c>
      <c r="S49" s="282" t="s">
        <v>192</v>
      </c>
      <c r="T49" s="282" t="s">
        <v>192</v>
      </c>
      <c r="U49" s="269"/>
      <c r="V49" s="269"/>
      <c r="W49" s="269"/>
      <c r="X49" s="269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</row>
    <row r="50" spans="1:60" ht="12.75" outlineLevel="1">
      <c r="A50" s="267"/>
      <c r="B50" s="268"/>
      <c r="C50" s="323"/>
      <c r="D50" s="324"/>
      <c r="E50" s="324"/>
      <c r="F50" s="324"/>
      <c r="G50" s="324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</row>
    <row r="51" spans="1:60" ht="22.5" customHeight="1" outlineLevel="1">
      <c r="A51" s="277">
        <v>18</v>
      </c>
      <c r="B51" s="278" t="s">
        <v>205</v>
      </c>
      <c r="C51" s="285" t="s">
        <v>235</v>
      </c>
      <c r="D51" s="279" t="s">
        <v>97</v>
      </c>
      <c r="E51" s="286">
        <f>68+51</f>
        <v>119</v>
      </c>
      <c r="F51" s="281"/>
      <c r="G51" s="282">
        <f>ROUND(E51*F51,2)</f>
        <v>0</v>
      </c>
      <c r="H51" s="281">
        <v>212.06</v>
      </c>
      <c r="I51" s="282">
        <f>ROUND(E51*H51,2)</f>
        <v>25235.14</v>
      </c>
      <c r="J51" s="281">
        <v>128.94</v>
      </c>
      <c r="K51" s="282">
        <f>ROUND(E51*J51,2)</f>
        <v>15343.86</v>
      </c>
      <c r="L51" s="282">
        <v>21</v>
      </c>
      <c r="M51" s="282">
        <f>G51*(1+L51/100)</f>
        <v>0</v>
      </c>
      <c r="N51" s="282">
        <v>0.10373</v>
      </c>
      <c r="O51" s="282">
        <f>ROUND(E51*N51,2)</f>
        <v>12.34</v>
      </c>
      <c r="P51" s="282">
        <v>0</v>
      </c>
      <c r="Q51" s="282">
        <f>ROUND(E51*P51,2)</f>
        <v>0</v>
      </c>
      <c r="R51" s="282" t="s">
        <v>108</v>
      </c>
      <c r="S51" s="282" t="s">
        <v>192</v>
      </c>
      <c r="T51" s="282" t="s">
        <v>192</v>
      </c>
      <c r="U51" s="269"/>
      <c r="V51" s="269"/>
      <c r="W51" s="269"/>
      <c r="X51" s="269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</row>
    <row r="52" spans="1:60" ht="12.75" customHeight="1" outlineLevel="1">
      <c r="A52" s="267"/>
      <c r="B52" s="268"/>
      <c r="C52" s="323"/>
      <c r="D52" s="324"/>
      <c r="E52" s="324"/>
      <c r="F52" s="324"/>
      <c r="G52" s="324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</row>
    <row r="53" spans="1:60" ht="12.75" customHeight="1" outlineLevel="1">
      <c r="A53" s="277">
        <v>19</v>
      </c>
      <c r="B53" s="278" t="s">
        <v>159</v>
      </c>
      <c r="C53" s="285" t="s">
        <v>156</v>
      </c>
      <c r="D53" s="279" t="s">
        <v>97</v>
      </c>
      <c r="E53" s="286">
        <v>90</v>
      </c>
      <c r="F53" s="281"/>
      <c r="G53" s="282">
        <f>ROUND(E53*F53,2)</f>
        <v>0</v>
      </c>
      <c r="H53" s="281">
        <v>51.16</v>
      </c>
      <c r="I53" s="282">
        <f>ROUND(E53*H53,2)</f>
        <v>4604.4</v>
      </c>
      <c r="J53" s="281">
        <v>238.34</v>
      </c>
      <c r="K53" s="282">
        <f>ROUND(E53*J53,2)</f>
        <v>21450.6</v>
      </c>
      <c r="L53" s="282">
        <v>21</v>
      </c>
      <c r="M53" s="282">
        <f>G53*(1+L53/100)</f>
        <v>0</v>
      </c>
      <c r="N53" s="282">
        <v>0.0928</v>
      </c>
      <c r="O53" s="282">
        <f>ROUND(E53*N53,2)</f>
        <v>8.35</v>
      </c>
      <c r="P53" s="282">
        <v>0</v>
      </c>
      <c r="Q53" s="282">
        <f>ROUND(E53*P53,2)</f>
        <v>0</v>
      </c>
      <c r="R53" s="282" t="s">
        <v>108</v>
      </c>
      <c r="S53" s="282" t="s">
        <v>192</v>
      </c>
      <c r="T53" s="282" t="s">
        <v>192</v>
      </c>
      <c r="U53" s="269"/>
      <c r="V53" s="269"/>
      <c r="W53" s="269"/>
      <c r="X53" s="269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</row>
    <row r="54" spans="1:60" ht="22.5" customHeight="1" outlineLevel="1">
      <c r="A54" s="267"/>
      <c r="B54" s="268"/>
      <c r="C54" s="445" t="s">
        <v>125</v>
      </c>
      <c r="D54" s="446"/>
      <c r="E54" s="446"/>
      <c r="F54" s="446"/>
      <c r="G54" s="446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</row>
    <row r="55" spans="1:60" ht="12.75" customHeight="1" outlineLevel="1">
      <c r="A55" s="267"/>
      <c r="B55" s="268"/>
      <c r="C55" s="325"/>
      <c r="D55" s="326"/>
      <c r="E55" s="326"/>
      <c r="F55" s="326"/>
      <c r="G55" s="326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</row>
    <row r="56" spans="1:60" ht="12.75" outlineLevel="1">
      <c r="A56" s="277">
        <v>20</v>
      </c>
      <c r="B56" s="278" t="s">
        <v>180</v>
      </c>
      <c r="C56" s="285" t="s">
        <v>179</v>
      </c>
      <c r="D56" s="279" t="s">
        <v>97</v>
      </c>
      <c r="E56" s="280">
        <f>(E53-E58)*1.05</f>
        <v>91.35000000000001</v>
      </c>
      <c r="F56" s="281"/>
      <c r="G56" s="282">
        <f>ROUND(E56*F56,2)</f>
        <v>0</v>
      </c>
      <c r="H56" s="269"/>
      <c r="I56" s="269"/>
      <c r="J56" s="269"/>
      <c r="K56" s="269"/>
      <c r="L56" s="282">
        <v>21</v>
      </c>
      <c r="M56" s="282">
        <f>G56*(1+L56/100)</f>
        <v>0</v>
      </c>
      <c r="N56" s="282">
        <v>0.176</v>
      </c>
      <c r="O56" s="282">
        <f>ROUND(E56*N56,2)</f>
        <v>16.08</v>
      </c>
      <c r="P56" s="282">
        <v>0</v>
      </c>
      <c r="Q56" s="282">
        <f>ROUND(E56*P56,2)</f>
        <v>0</v>
      </c>
      <c r="R56" s="282" t="s">
        <v>94</v>
      </c>
      <c r="S56" s="282" t="s">
        <v>192</v>
      </c>
      <c r="T56" s="282" t="s">
        <v>100</v>
      </c>
      <c r="U56" s="269"/>
      <c r="V56" s="269"/>
      <c r="W56" s="269"/>
      <c r="X56" s="269"/>
      <c r="Y56" s="266"/>
      <c r="Z56" s="266"/>
      <c r="AA56" s="266"/>
      <c r="AB56" s="266"/>
      <c r="AC56" s="266"/>
      <c r="AD56" s="266"/>
      <c r="AE56" s="266"/>
      <c r="AF56" s="266"/>
      <c r="AG56" s="266" t="s">
        <v>93</v>
      </c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</row>
    <row r="57" spans="1:60" ht="12.75" outlineLevel="1">
      <c r="A57" s="267"/>
      <c r="B57" s="268"/>
      <c r="C57" s="449"/>
      <c r="D57" s="450"/>
      <c r="E57" s="450"/>
      <c r="F57" s="450"/>
      <c r="G57" s="450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</row>
    <row r="58" spans="1:60" ht="12.75" outlineLevel="1">
      <c r="A58" s="277">
        <v>21</v>
      </c>
      <c r="B58" s="278" t="s">
        <v>180</v>
      </c>
      <c r="C58" s="285" t="s">
        <v>236</v>
      </c>
      <c r="D58" s="279" t="s">
        <v>97</v>
      </c>
      <c r="E58" s="286">
        <v>3</v>
      </c>
      <c r="F58" s="281"/>
      <c r="G58" s="282">
        <f>ROUND(E58*F58,2)</f>
        <v>0</v>
      </c>
      <c r="H58" s="269"/>
      <c r="I58" s="269"/>
      <c r="J58" s="269"/>
      <c r="K58" s="269"/>
      <c r="L58" s="282">
        <v>21</v>
      </c>
      <c r="M58" s="282">
        <f>G58*(1+L58/100)</f>
        <v>0</v>
      </c>
      <c r="N58" s="282">
        <v>0.176</v>
      </c>
      <c r="O58" s="282">
        <f>ROUND(E58*N58,2)</f>
        <v>0.53</v>
      </c>
      <c r="P58" s="282">
        <v>0</v>
      </c>
      <c r="Q58" s="282">
        <f>ROUND(E58*P58,2)</f>
        <v>0</v>
      </c>
      <c r="R58" s="282" t="s">
        <v>94</v>
      </c>
      <c r="S58" s="282" t="s">
        <v>192</v>
      </c>
      <c r="T58" s="282" t="s">
        <v>100</v>
      </c>
      <c r="U58" s="269"/>
      <c r="V58" s="269"/>
      <c r="W58" s="269"/>
      <c r="X58" s="269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6"/>
    </row>
    <row r="59" spans="1:60" ht="12.75" outlineLevel="1">
      <c r="A59" s="267"/>
      <c r="B59" s="268"/>
      <c r="C59" s="323"/>
      <c r="D59" s="324"/>
      <c r="E59" s="324"/>
      <c r="F59" s="324"/>
      <c r="G59" s="324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184"/>
      <c r="T59" s="184"/>
      <c r="U59" s="269"/>
      <c r="V59" s="269"/>
      <c r="W59" s="269"/>
      <c r="X59" s="269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</row>
    <row r="60" spans="1:60" ht="12.75" outlineLevel="1">
      <c r="A60" s="271" t="s">
        <v>91</v>
      </c>
      <c r="B60" s="272" t="s">
        <v>221</v>
      </c>
      <c r="C60" s="284" t="s">
        <v>222</v>
      </c>
      <c r="D60" s="273"/>
      <c r="E60" s="274"/>
      <c r="F60" s="275"/>
      <c r="G60" s="275">
        <f>G61+G64+G67+G70+G73</f>
        <v>0</v>
      </c>
      <c r="H60" s="275"/>
      <c r="I60" s="275" t="e">
        <f>SUM(#REF!)</f>
        <v>#REF!</v>
      </c>
      <c r="J60" s="275"/>
      <c r="K60" s="275" t="e">
        <f>SUM(#REF!)</f>
        <v>#REF!</v>
      </c>
      <c r="L60" s="275"/>
      <c r="M60" s="275">
        <f>M61+M64+M67+M70+M73</f>
        <v>0</v>
      </c>
      <c r="N60" s="275"/>
      <c r="O60" s="275" t="e">
        <f>SUM(#REF!)</f>
        <v>#REF!</v>
      </c>
      <c r="P60" s="275"/>
      <c r="Q60" s="275" t="e">
        <f>SUM(#REF!)</f>
        <v>#REF!</v>
      </c>
      <c r="R60" s="275"/>
      <c r="S60" s="275"/>
      <c r="T60" s="276"/>
      <c r="U60" s="269"/>
      <c r="V60" s="269"/>
      <c r="W60" s="269"/>
      <c r="X60" s="269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</row>
    <row r="61" spans="1:60" ht="12.75" outlineLevel="1">
      <c r="A61" s="277">
        <v>22</v>
      </c>
      <c r="B61" s="278" t="s">
        <v>255</v>
      </c>
      <c r="C61" s="292" t="s">
        <v>295</v>
      </c>
      <c r="D61" s="293" t="s">
        <v>114</v>
      </c>
      <c r="E61" s="370">
        <v>18</v>
      </c>
      <c r="F61" s="294"/>
      <c r="G61" s="295">
        <f>ROUND(E61*F61,2)</f>
        <v>0</v>
      </c>
      <c r="H61" s="281">
        <v>212.06</v>
      </c>
      <c r="I61" s="282">
        <f>ROUND(E61*H61,2)</f>
        <v>3817.08</v>
      </c>
      <c r="J61" s="281">
        <v>128.94</v>
      </c>
      <c r="K61" s="282">
        <f>ROUND(E61*J61,2)</f>
        <v>2320.92</v>
      </c>
      <c r="L61" s="282">
        <v>21</v>
      </c>
      <c r="M61" s="282">
        <f>G61*(1+L61/100)</f>
        <v>0</v>
      </c>
      <c r="N61" s="282">
        <v>0.10373</v>
      </c>
      <c r="O61" s="282">
        <f>ROUND(E61*N61,2)</f>
        <v>1.87</v>
      </c>
      <c r="P61" s="282">
        <v>0</v>
      </c>
      <c r="Q61" s="282">
        <f>ROUND(E61*P61,2)</f>
        <v>0</v>
      </c>
      <c r="R61" s="282" t="s">
        <v>108</v>
      </c>
      <c r="S61" s="282" t="s">
        <v>192</v>
      </c>
      <c r="T61" s="283" t="s">
        <v>100</v>
      </c>
      <c r="U61" s="269"/>
      <c r="V61" s="269"/>
      <c r="W61" s="269"/>
      <c r="X61" s="269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</row>
    <row r="62" spans="1:60" ht="12.75" outlineLevel="1">
      <c r="A62" s="267"/>
      <c r="B62" s="268"/>
      <c r="C62" s="287" t="s">
        <v>296</v>
      </c>
      <c r="D62" s="288"/>
      <c r="E62" s="289"/>
      <c r="F62" s="290"/>
      <c r="G62" s="291"/>
      <c r="H62" s="270"/>
      <c r="I62" s="269"/>
      <c r="J62" s="270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/>
    </row>
    <row r="63" spans="1:60" ht="12.75" outlineLevel="1">
      <c r="A63" s="267"/>
      <c r="B63" s="268"/>
      <c r="C63" s="325"/>
      <c r="D63" s="326"/>
      <c r="E63" s="326"/>
      <c r="F63" s="326"/>
      <c r="G63" s="326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</row>
    <row r="64" spans="1:60" ht="12.75" outlineLevel="1">
      <c r="A64" s="277">
        <v>23</v>
      </c>
      <c r="B64" s="278" t="s">
        <v>256</v>
      </c>
      <c r="C64" s="292" t="s">
        <v>297</v>
      </c>
      <c r="D64" s="293" t="s">
        <v>112</v>
      </c>
      <c r="E64" s="370">
        <v>100</v>
      </c>
      <c r="F64" s="294"/>
      <c r="G64" s="295">
        <f>ROUND(E64*F64,2)</f>
        <v>0</v>
      </c>
      <c r="H64" s="281">
        <v>212.06</v>
      </c>
      <c r="I64" s="282">
        <f>ROUND(E64*H64,2)</f>
        <v>21206</v>
      </c>
      <c r="J64" s="281">
        <v>128.94</v>
      </c>
      <c r="K64" s="282">
        <f>ROUND(E64*J64,2)</f>
        <v>12894</v>
      </c>
      <c r="L64" s="282">
        <v>21</v>
      </c>
      <c r="M64" s="282">
        <f>G64*(1+L64/100)</f>
        <v>0</v>
      </c>
      <c r="N64" s="282">
        <v>0.10373</v>
      </c>
      <c r="O64" s="282">
        <f>ROUND(E64*N64,2)</f>
        <v>10.37</v>
      </c>
      <c r="P64" s="282">
        <v>0</v>
      </c>
      <c r="Q64" s="282">
        <f>ROUND(E64*P64,2)</f>
        <v>0</v>
      </c>
      <c r="R64" s="282" t="s">
        <v>108</v>
      </c>
      <c r="S64" s="282" t="s">
        <v>192</v>
      </c>
      <c r="T64" s="283" t="s">
        <v>100</v>
      </c>
      <c r="U64" s="269"/>
      <c r="V64" s="269"/>
      <c r="W64" s="269"/>
      <c r="X64" s="269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</row>
    <row r="65" spans="1:60" ht="12.75" outlineLevel="1">
      <c r="A65" s="267"/>
      <c r="B65" s="268"/>
      <c r="C65" s="287" t="s">
        <v>298</v>
      </c>
      <c r="D65" s="288"/>
      <c r="E65" s="289"/>
      <c r="F65" s="290"/>
      <c r="G65" s="291"/>
      <c r="H65" s="270"/>
      <c r="I65" s="269"/>
      <c r="J65" s="270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6"/>
      <c r="BF65" s="266"/>
      <c r="BG65" s="266"/>
      <c r="BH65" s="266"/>
    </row>
    <row r="66" spans="1:60" ht="12.75" outlineLevel="1">
      <c r="A66" s="267"/>
      <c r="B66" s="268"/>
      <c r="C66" s="447"/>
      <c r="D66" s="448"/>
      <c r="E66" s="448"/>
      <c r="F66" s="448"/>
      <c r="G66" s="448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  <c r="BH66" s="266"/>
    </row>
    <row r="67" spans="1:60" ht="12.75" outlineLevel="1">
      <c r="A67" s="277">
        <v>24</v>
      </c>
      <c r="B67" s="278" t="s">
        <v>301</v>
      </c>
      <c r="C67" s="292" t="s">
        <v>299</v>
      </c>
      <c r="D67" s="293" t="s">
        <v>95</v>
      </c>
      <c r="E67" s="370">
        <v>3</v>
      </c>
      <c r="F67" s="294"/>
      <c r="G67" s="295">
        <f>ROUND(E67*F67,2)</f>
        <v>0</v>
      </c>
      <c r="H67" s="281">
        <v>212.06</v>
      </c>
      <c r="I67" s="282">
        <f>ROUND(E67*H67,2)</f>
        <v>636.18</v>
      </c>
      <c r="J67" s="281">
        <v>128.94</v>
      </c>
      <c r="K67" s="282">
        <f>ROUND(E67*J67,2)</f>
        <v>386.82</v>
      </c>
      <c r="L67" s="282">
        <v>21</v>
      </c>
      <c r="M67" s="282">
        <f>G67*(1+L67/100)</f>
        <v>0</v>
      </c>
      <c r="N67" s="282">
        <v>0.10373</v>
      </c>
      <c r="O67" s="282">
        <f>ROUND(E67*N67,2)</f>
        <v>0.31</v>
      </c>
      <c r="P67" s="282">
        <v>0</v>
      </c>
      <c r="Q67" s="282">
        <f>ROUND(E67*P67,2)</f>
        <v>0</v>
      </c>
      <c r="R67" s="282" t="s">
        <v>108</v>
      </c>
      <c r="S67" s="282" t="s">
        <v>192</v>
      </c>
      <c r="T67" s="283" t="s">
        <v>100</v>
      </c>
      <c r="U67" s="269"/>
      <c r="V67" s="269"/>
      <c r="W67" s="269"/>
      <c r="X67" s="269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  <c r="BF67" s="266"/>
      <c r="BG67" s="266"/>
      <c r="BH67" s="266"/>
    </row>
    <row r="68" spans="1:60" ht="33.75" outlineLevel="1">
      <c r="A68" s="267"/>
      <c r="B68" s="268"/>
      <c r="C68" s="287" t="s">
        <v>300</v>
      </c>
      <c r="D68" s="288"/>
      <c r="E68" s="289"/>
      <c r="F68" s="290"/>
      <c r="G68" s="291"/>
      <c r="H68" s="270"/>
      <c r="I68" s="269"/>
      <c r="J68" s="270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</row>
    <row r="69" spans="1:60" ht="12.75" outlineLevel="1">
      <c r="A69" s="267"/>
      <c r="B69" s="268"/>
      <c r="C69" s="325"/>
      <c r="D69" s="326"/>
      <c r="E69" s="326"/>
      <c r="F69" s="326"/>
      <c r="G69" s="326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6"/>
      <c r="BG69" s="266"/>
      <c r="BH69" s="266"/>
    </row>
    <row r="70" spans="1:60" ht="12.75" outlineLevel="1">
      <c r="A70" s="277">
        <v>25</v>
      </c>
      <c r="B70" s="278" t="s">
        <v>223</v>
      </c>
      <c r="C70" s="292" t="s">
        <v>302</v>
      </c>
      <c r="D70" s="310" t="s">
        <v>95</v>
      </c>
      <c r="E70" s="340">
        <v>2</v>
      </c>
      <c r="F70" s="312"/>
      <c r="G70" s="313">
        <f>ROUND(E70*F70,2)</f>
        <v>0</v>
      </c>
      <c r="H70" s="281">
        <v>212.06</v>
      </c>
      <c r="I70" s="282">
        <f>ROUND(E70*H70,2)</f>
        <v>424.12</v>
      </c>
      <c r="J70" s="281">
        <v>128.94</v>
      </c>
      <c r="K70" s="282">
        <f>ROUND(E70*J70,2)</f>
        <v>257.88</v>
      </c>
      <c r="L70" s="282">
        <v>21</v>
      </c>
      <c r="M70" s="282">
        <f>G70*(1+L70/100)</f>
        <v>0</v>
      </c>
      <c r="N70" s="282">
        <v>0.10373</v>
      </c>
      <c r="O70" s="282">
        <f>ROUND(E70*N70,2)</f>
        <v>0.21</v>
      </c>
      <c r="P70" s="282">
        <v>0</v>
      </c>
      <c r="Q70" s="282">
        <f>ROUND(E70*P70,2)</f>
        <v>0</v>
      </c>
      <c r="R70" s="282" t="s">
        <v>108</v>
      </c>
      <c r="S70" s="282" t="s">
        <v>192</v>
      </c>
      <c r="T70" s="283" t="s">
        <v>100</v>
      </c>
      <c r="U70" s="269"/>
      <c r="V70" s="269"/>
      <c r="W70" s="269"/>
      <c r="X70" s="269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</row>
    <row r="71" spans="1:60" ht="33.75" outlineLevel="1">
      <c r="A71" s="267"/>
      <c r="B71" s="268"/>
      <c r="C71" s="287" t="s">
        <v>305</v>
      </c>
      <c r="D71" s="307"/>
      <c r="E71" s="308"/>
      <c r="F71" s="349"/>
      <c r="G71" s="269"/>
      <c r="H71" s="270"/>
      <c r="I71" s="269"/>
      <c r="J71" s="270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6"/>
      <c r="BG71" s="266"/>
      <c r="BH71" s="266"/>
    </row>
    <row r="72" spans="1:60" ht="12.75" outlineLevel="1">
      <c r="A72" s="267"/>
      <c r="B72" s="268"/>
      <c r="C72" s="325"/>
      <c r="D72" s="326"/>
      <c r="E72" s="326"/>
      <c r="F72" s="326"/>
      <c r="G72" s="326"/>
      <c r="H72" s="270"/>
      <c r="I72" s="269"/>
      <c r="J72" s="270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</row>
    <row r="73" spans="1:60" ht="12.75" outlineLevel="1">
      <c r="A73" s="277">
        <v>26</v>
      </c>
      <c r="B73" s="278" t="s">
        <v>223</v>
      </c>
      <c r="C73" s="314" t="s">
        <v>306</v>
      </c>
      <c r="D73" s="315" t="s">
        <v>112</v>
      </c>
      <c r="E73" s="316">
        <f>E64</f>
        <v>100</v>
      </c>
      <c r="F73" s="317"/>
      <c r="G73" s="318">
        <f>ROUND(E73*F73,2)</f>
        <v>0</v>
      </c>
      <c r="H73" s="281">
        <v>212.06</v>
      </c>
      <c r="I73" s="282">
        <f>ROUND(E73*H73,2)</f>
        <v>21206</v>
      </c>
      <c r="J73" s="281">
        <v>128.94</v>
      </c>
      <c r="K73" s="282">
        <f>ROUND(E73*J73,2)</f>
        <v>12894</v>
      </c>
      <c r="L73" s="282">
        <v>21</v>
      </c>
      <c r="M73" s="282">
        <f>G73*(1+L73/100)</f>
        <v>0</v>
      </c>
      <c r="N73" s="282">
        <v>0.10373</v>
      </c>
      <c r="O73" s="282">
        <f>ROUND(E73*N73,2)</f>
        <v>10.37</v>
      </c>
      <c r="P73" s="282">
        <v>0</v>
      </c>
      <c r="Q73" s="282">
        <f>ROUND(E73*P73,2)</f>
        <v>0</v>
      </c>
      <c r="R73" s="282" t="s">
        <v>108</v>
      </c>
      <c r="S73" s="282" t="s">
        <v>192</v>
      </c>
      <c r="T73" s="283" t="s">
        <v>100</v>
      </c>
      <c r="U73" s="269"/>
      <c r="V73" s="269"/>
      <c r="W73" s="269"/>
      <c r="X73" s="269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</row>
    <row r="74" spans="1:60" ht="12.75" outlineLevel="1">
      <c r="A74" s="267"/>
      <c r="B74" s="268"/>
      <c r="C74" s="325"/>
      <c r="D74" s="326"/>
      <c r="E74" s="326"/>
      <c r="F74" s="326"/>
      <c r="G74" s="326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</row>
    <row r="75" spans="1:33" ht="12.75">
      <c r="A75" s="271" t="s">
        <v>91</v>
      </c>
      <c r="B75" s="272" t="s">
        <v>56</v>
      </c>
      <c r="C75" s="284" t="s">
        <v>57</v>
      </c>
      <c r="D75" s="273"/>
      <c r="E75" s="274"/>
      <c r="F75" s="275"/>
      <c r="G75" s="275">
        <f>G76+G78+G81+G83+G86+G88+G90</f>
        <v>0</v>
      </c>
      <c r="H75" s="275"/>
      <c r="I75" s="275">
        <f>SUM(I78:I92)</f>
        <v>104003.98</v>
      </c>
      <c r="J75" s="275"/>
      <c r="K75" s="275">
        <f>SUM(K78:K92)</f>
        <v>29925.420000000002</v>
      </c>
      <c r="L75" s="275"/>
      <c r="M75" s="275">
        <f>M76+M78+M81+M83+M86+M88+M90</f>
        <v>0</v>
      </c>
      <c r="N75" s="275"/>
      <c r="O75" s="275">
        <f>SUM(O78:O92)</f>
        <v>70.84</v>
      </c>
      <c r="P75" s="275"/>
      <c r="Q75" s="275">
        <f>SUM(Q78:Q92)</f>
        <v>0</v>
      </c>
      <c r="R75" s="275"/>
      <c r="S75" s="275"/>
      <c r="T75" s="276"/>
      <c r="U75" s="147"/>
      <c r="V75" s="147">
        <f>SUM(V78:V92)</f>
        <v>29.98</v>
      </c>
      <c r="W75" s="147"/>
      <c r="X75" s="147"/>
      <c r="AG75" s="261" t="s">
        <v>92</v>
      </c>
    </row>
    <row r="76" spans="1:24" ht="12.75">
      <c r="A76" s="234">
        <v>27</v>
      </c>
      <c r="B76" s="278" t="s">
        <v>326</v>
      </c>
      <c r="C76" s="285" t="s">
        <v>325</v>
      </c>
      <c r="D76" s="279" t="s">
        <v>268</v>
      </c>
      <c r="E76" s="280">
        <v>1</v>
      </c>
      <c r="F76" s="281"/>
      <c r="G76" s="282">
        <f>ROUND(E76*F76,2)</f>
        <v>0</v>
      </c>
      <c r="H76" s="281">
        <v>339.99</v>
      </c>
      <c r="I76" s="282">
        <f>ROUND(E76*H76,2)</f>
        <v>339.99</v>
      </c>
      <c r="J76" s="281">
        <v>352.01</v>
      </c>
      <c r="K76" s="282">
        <f>ROUND(E76*J76,2)</f>
        <v>352.01</v>
      </c>
      <c r="L76" s="282">
        <v>21</v>
      </c>
      <c r="M76" s="282">
        <f>G76*(1+L76/100)</f>
        <v>0</v>
      </c>
      <c r="N76" s="282">
        <v>0.2508</v>
      </c>
      <c r="O76" s="282">
        <f>ROUND(E76*N76,2)</f>
        <v>0.25</v>
      </c>
      <c r="P76" s="282">
        <v>0</v>
      </c>
      <c r="Q76" s="282">
        <f>ROUND(E76*P76,2)</f>
        <v>0</v>
      </c>
      <c r="R76" s="282" t="s">
        <v>108</v>
      </c>
      <c r="S76" s="282" t="s">
        <v>192</v>
      </c>
      <c r="T76" s="282" t="s">
        <v>100</v>
      </c>
      <c r="U76" s="147"/>
      <c r="V76" s="147"/>
      <c r="W76" s="147"/>
      <c r="X76" s="147"/>
    </row>
    <row r="77" spans="1:24" ht="12.75">
      <c r="A77" s="267"/>
      <c r="B77" s="268"/>
      <c r="C77" s="325"/>
      <c r="D77" s="326"/>
      <c r="E77" s="326"/>
      <c r="F77" s="326"/>
      <c r="G77" s="326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147"/>
      <c r="V77" s="147"/>
      <c r="W77" s="147"/>
      <c r="X77" s="147"/>
    </row>
    <row r="78" spans="1:60" ht="22.5" outlineLevel="1">
      <c r="A78" s="277">
        <v>28</v>
      </c>
      <c r="B78" s="278" t="s">
        <v>241</v>
      </c>
      <c r="C78" s="285" t="s">
        <v>240</v>
      </c>
      <c r="D78" s="279" t="s">
        <v>112</v>
      </c>
      <c r="E78" s="286">
        <v>95</v>
      </c>
      <c r="F78" s="281"/>
      <c r="G78" s="282">
        <f>ROUND(E78*F78,2)</f>
        <v>0</v>
      </c>
      <c r="H78" s="281">
        <v>320.33</v>
      </c>
      <c r="I78" s="282">
        <f>ROUND(E78*H78,2)</f>
        <v>30431.35</v>
      </c>
      <c r="J78" s="281">
        <v>128.17</v>
      </c>
      <c r="K78" s="282">
        <f>ROUND(E78*J78,2)</f>
        <v>12176.15</v>
      </c>
      <c r="L78" s="282">
        <v>21</v>
      </c>
      <c r="M78" s="282">
        <f>G78*(1+L78/100)</f>
        <v>0</v>
      </c>
      <c r="N78" s="282">
        <v>0.26981</v>
      </c>
      <c r="O78" s="282">
        <f>ROUND(E78*N78,2)</f>
        <v>25.63</v>
      </c>
      <c r="P78" s="282">
        <v>0</v>
      </c>
      <c r="Q78" s="282">
        <f>ROUND(E78*P78,2)</f>
        <v>0</v>
      </c>
      <c r="R78" s="282" t="s">
        <v>108</v>
      </c>
      <c r="S78" s="282" t="s">
        <v>192</v>
      </c>
      <c r="T78" s="282" t="s">
        <v>192</v>
      </c>
      <c r="U78" s="269">
        <v>0.272</v>
      </c>
      <c r="V78" s="269">
        <f>ROUND(E78*U78,2)</f>
        <v>25.84</v>
      </c>
      <c r="W78" s="269"/>
      <c r="X78" s="269" t="s">
        <v>109</v>
      </c>
      <c r="Y78" s="266"/>
      <c r="Z78" s="266"/>
      <c r="AA78" s="266"/>
      <c r="AB78" s="266"/>
      <c r="AC78" s="266"/>
      <c r="AD78" s="266"/>
      <c r="AE78" s="266"/>
      <c r="AF78" s="266"/>
      <c r="AG78" s="266" t="s">
        <v>110</v>
      </c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  <c r="BB78" s="266"/>
      <c r="BC78" s="266"/>
      <c r="BD78" s="266"/>
      <c r="BE78" s="266"/>
      <c r="BF78" s="266"/>
      <c r="BG78" s="266"/>
      <c r="BH78" s="266"/>
    </row>
    <row r="79" spans="1:60" ht="12.75" outlineLevel="1">
      <c r="A79" s="267"/>
      <c r="B79" s="268"/>
      <c r="C79" s="445" t="s">
        <v>252</v>
      </c>
      <c r="D79" s="446"/>
      <c r="E79" s="446"/>
      <c r="F79" s="446"/>
      <c r="G79" s="446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6"/>
      <c r="Z79" s="266"/>
      <c r="AA79" s="266"/>
      <c r="AB79" s="266"/>
      <c r="AC79" s="266"/>
      <c r="AD79" s="266"/>
      <c r="AE79" s="266"/>
      <c r="AF79" s="266"/>
      <c r="AG79" s="266" t="s">
        <v>111</v>
      </c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266"/>
      <c r="BE79" s="266"/>
      <c r="BF79" s="266"/>
      <c r="BG79" s="266"/>
      <c r="BH79" s="266"/>
    </row>
    <row r="80" spans="1:60" ht="12.75" outlineLevel="1">
      <c r="A80" s="267"/>
      <c r="B80" s="268"/>
      <c r="C80" s="447"/>
      <c r="D80" s="448"/>
      <c r="E80" s="448"/>
      <c r="F80" s="448"/>
      <c r="G80" s="448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66"/>
      <c r="BE80" s="266"/>
      <c r="BF80" s="266"/>
      <c r="BG80" s="266"/>
      <c r="BH80" s="266"/>
    </row>
    <row r="81" spans="1:60" ht="12.75" outlineLevel="1">
      <c r="A81" s="277">
        <v>29</v>
      </c>
      <c r="B81" s="278" t="s">
        <v>195</v>
      </c>
      <c r="C81" s="285" t="s">
        <v>243</v>
      </c>
      <c r="D81" s="279" t="s">
        <v>95</v>
      </c>
      <c r="E81" s="286">
        <f>E78*1.05+0.25</f>
        <v>100</v>
      </c>
      <c r="F81" s="281"/>
      <c r="G81" s="282">
        <f>ROUND(E81*F81,2)</f>
        <v>0</v>
      </c>
      <c r="H81" s="281">
        <v>143</v>
      </c>
      <c r="I81" s="282">
        <f>ROUND(E81*H81,2)</f>
        <v>14300</v>
      </c>
      <c r="J81" s="281">
        <v>0</v>
      </c>
      <c r="K81" s="282">
        <f>ROUND(E81*J81,2)</f>
        <v>0</v>
      </c>
      <c r="L81" s="282">
        <v>21</v>
      </c>
      <c r="M81" s="282">
        <f>G81*(1+L81/100)</f>
        <v>0</v>
      </c>
      <c r="N81" s="282">
        <v>0.05417</v>
      </c>
      <c r="O81" s="282">
        <f>ROUND(E81*N81,2)</f>
        <v>5.42</v>
      </c>
      <c r="P81" s="282">
        <v>0</v>
      </c>
      <c r="Q81" s="282">
        <f>ROUND(E81*P81,2)</f>
        <v>0</v>
      </c>
      <c r="R81" s="282" t="s">
        <v>94</v>
      </c>
      <c r="S81" s="282" t="s">
        <v>192</v>
      </c>
      <c r="T81" s="282" t="s">
        <v>100</v>
      </c>
      <c r="U81" s="269"/>
      <c r="V81" s="269"/>
      <c r="W81" s="269"/>
      <c r="X81" s="269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6"/>
      <c r="BD81" s="266"/>
      <c r="BE81" s="266"/>
      <c r="BF81" s="266"/>
      <c r="BG81" s="266"/>
      <c r="BH81" s="266"/>
    </row>
    <row r="82" spans="1:60" ht="12.75" outlineLevel="1">
      <c r="A82" s="267"/>
      <c r="B82" s="268"/>
      <c r="C82" s="325"/>
      <c r="D82" s="326"/>
      <c r="E82" s="326"/>
      <c r="F82" s="326"/>
      <c r="G82" s="326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6"/>
      <c r="AV82" s="266"/>
      <c r="AW82" s="266"/>
      <c r="AX82" s="266"/>
      <c r="AY82" s="266"/>
      <c r="AZ82" s="266"/>
      <c r="BA82" s="266"/>
      <c r="BB82" s="266"/>
      <c r="BC82" s="266"/>
      <c r="BD82" s="266"/>
      <c r="BE82" s="266"/>
      <c r="BF82" s="266"/>
      <c r="BG82" s="266"/>
      <c r="BH82" s="266"/>
    </row>
    <row r="83" spans="1:60" ht="22.5" outlineLevel="1">
      <c r="A83" s="277">
        <v>30</v>
      </c>
      <c r="B83" s="278" t="s">
        <v>242</v>
      </c>
      <c r="C83" s="285" t="s">
        <v>158</v>
      </c>
      <c r="D83" s="279" t="s">
        <v>112</v>
      </c>
      <c r="E83" s="286">
        <v>111</v>
      </c>
      <c r="F83" s="281"/>
      <c r="G83" s="282">
        <f>ROUND(E83*F83,2)</f>
        <v>0</v>
      </c>
      <c r="H83" s="281">
        <v>320.33</v>
      </c>
      <c r="I83" s="282">
        <f>ROUND(E83*H83,2)</f>
        <v>35556.63</v>
      </c>
      <c r="J83" s="281">
        <v>128.17</v>
      </c>
      <c r="K83" s="282">
        <f>ROUND(E83*J83,2)</f>
        <v>14226.87</v>
      </c>
      <c r="L83" s="282">
        <v>21</v>
      </c>
      <c r="M83" s="282">
        <f>G83*(1+L83/100)</f>
        <v>0</v>
      </c>
      <c r="N83" s="282">
        <v>0.26981</v>
      </c>
      <c r="O83" s="282">
        <f>ROUND(E83*N83,2)</f>
        <v>29.95</v>
      </c>
      <c r="P83" s="282">
        <v>0</v>
      </c>
      <c r="Q83" s="282">
        <f>ROUND(E83*P83,2)</f>
        <v>0</v>
      </c>
      <c r="R83" s="282" t="s">
        <v>108</v>
      </c>
      <c r="S83" s="282" t="s">
        <v>192</v>
      </c>
      <c r="T83" s="282" t="s">
        <v>192</v>
      </c>
      <c r="U83" s="269"/>
      <c r="V83" s="269"/>
      <c r="W83" s="269"/>
      <c r="X83" s="269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  <c r="BB83" s="266"/>
      <c r="BC83" s="266"/>
      <c r="BD83" s="266"/>
      <c r="BE83" s="266"/>
      <c r="BF83" s="266"/>
      <c r="BG83" s="266"/>
      <c r="BH83" s="266"/>
    </row>
    <row r="84" spans="1:60" ht="12.75" outlineLevel="1">
      <c r="A84" s="267"/>
      <c r="B84" s="268"/>
      <c r="C84" s="445" t="s">
        <v>252</v>
      </c>
      <c r="D84" s="446"/>
      <c r="E84" s="446"/>
      <c r="F84" s="446"/>
      <c r="G84" s="446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  <c r="BF84" s="266"/>
      <c r="BG84" s="266"/>
      <c r="BH84" s="266"/>
    </row>
    <row r="85" spans="1:60" ht="12.75" outlineLevel="1">
      <c r="A85" s="267"/>
      <c r="B85" s="268"/>
      <c r="C85" s="447"/>
      <c r="D85" s="448"/>
      <c r="E85" s="448"/>
      <c r="F85" s="448"/>
      <c r="G85" s="448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266"/>
      <c r="AQ85" s="266"/>
      <c r="AR85" s="266"/>
      <c r="AS85" s="266"/>
      <c r="AT85" s="266"/>
      <c r="AU85" s="266"/>
      <c r="AV85" s="266"/>
      <c r="AW85" s="266"/>
      <c r="AX85" s="266"/>
      <c r="AY85" s="266"/>
      <c r="AZ85" s="266"/>
      <c r="BA85" s="266"/>
      <c r="BB85" s="266"/>
      <c r="BC85" s="266"/>
      <c r="BD85" s="266"/>
      <c r="BE85" s="266"/>
      <c r="BF85" s="266"/>
      <c r="BG85" s="266"/>
      <c r="BH85" s="266"/>
    </row>
    <row r="86" spans="1:60" ht="12.75" outlineLevel="1">
      <c r="A86" s="277">
        <v>31</v>
      </c>
      <c r="B86" s="278" t="s">
        <v>96</v>
      </c>
      <c r="C86" s="285" t="s">
        <v>244</v>
      </c>
      <c r="D86" s="279" t="s">
        <v>95</v>
      </c>
      <c r="E86" s="286">
        <f>E83*1.05+0.45</f>
        <v>117.00000000000001</v>
      </c>
      <c r="F86" s="281"/>
      <c r="G86" s="282">
        <f>ROUND(E86*F86,2)</f>
        <v>0</v>
      </c>
      <c r="H86" s="281">
        <v>154</v>
      </c>
      <c r="I86" s="282">
        <f>ROUND(E86*H86,2)</f>
        <v>18018</v>
      </c>
      <c r="J86" s="281">
        <v>0</v>
      </c>
      <c r="K86" s="282">
        <f>ROUND(E86*J86,2)</f>
        <v>0</v>
      </c>
      <c r="L86" s="282">
        <v>21</v>
      </c>
      <c r="M86" s="282">
        <f>G86*(1+L86/100)</f>
        <v>0</v>
      </c>
      <c r="N86" s="282">
        <v>0.08197</v>
      </c>
      <c r="O86" s="282">
        <f>ROUND(E86*N86,2)</f>
        <v>9.59</v>
      </c>
      <c r="P86" s="282">
        <v>0</v>
      </c>
      <c r="Q86" s="282">
        <f>ROUND(E86*P86,2)</f>
        <v>0</v>
      </c>
      <c r="R86" s="282" t="s">
        <v>94</v>
      </c>
      <c r="S86" s="282" t="s">
        <v>192</v>
      </c>
      <c r="T86" s="282" t="s">
        <v>100</v>
      </c>
      <c r="U86" s="269"/>
      <c r="V86" s="269"/>
      <c r="W86" s="269"/>
      <c r="X86" s="269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/>
      <c r="BH86" s="266"/>
    </row>
    <row r="87" spans="1:60" ht="12.75" outlineLevel="1">
      <c r="A87" s="267"/>
      <c r="B87" s="268"/>
      <c r="C87" s="325"/>
      <c r="D87" s="326"/>
      <c r="E87" s="326"/>
      <c r="F87" s="326"/>
      <c r="G87" s="326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6"/>
      <c r="BG87" s="266"/>
      <c r="BH87" s="266"/>
    </row>
    <row r="88" spans="1:60" ht="12.75" customHeight="1" outlineLevel="1">
      <c r="A88" s="277">
        <v>32</v>
      </c>
      <c r="B88" s="278" t="s">
        <v>248</v>
      </c>
      <c r="C88" s="285" t="s">
        <v>245</v>
      </c>
      <c r="D88" s="279" t="s">
        <v>95</v>
      </c>
      <c r="E88" s="286">
        <v>3</v>
      </c>
      <c r="F88" s="281"/>
      <c r="G88" s="282">
        <f>ROUND(E88*F88,2)</f>
        <v>0</v>
      </c>
      <c r="H88" s="281">
        <v>154</v>
      </c>
      <c r="I88" s="282">
        <f>ROUND(E88*H88,2)</f>
        <v>462</v>
      </c>
      <c r="J88" s="281">
        <v>0</v>
      </c>
      <c r="K88" s="282">
        <f>ROUND(E88*J88,2)</f>
        <v>0</v>
      </c>
      <c r="L88" s="282">
        <v>21</v>
      </c>
      <c r="M88" s="282">
        <f>G88*(1+L88/100)</f>
        <v>0</v>
      </c>
      <c r="N88" s="282">
        <v>0.08197</v>
      </c>
      <c r="O88" s="282">
        <f>ROUND(E88*N88,2)</f>
        <v>0.25</v>
      </c>
      <c r="P88" s="282">
        <v>0</v>
      </c>
      <c r="Q88" s="282">
        <f>ROUND(E88*P88,2)</f>
        <v>0</v>
      </c>
      <c r="R88" s="282" t="s">
        <v>94</v>
      </c>
      <c r="S88" s="282" t="s">
        <v>192</v>
      </c>
      <c r="T88" s="282" t="s">
        <v>100</v>
      </c>
      <c r="U88" s="269"/>
      <c r="V88" s="269"/>
      <c r="W88" s="269"/>
      <c r="X88" s="269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6"/>
      <c r="BG88" s="266"/>
      <c r="BH88" s="266"/>
    </row>
    <row r="89" spans="1:60" ht="12.75" outlineLevel="1">
      <c r="A89" s="267"/>
      <c r="B89" s="268"/>
      <c r="C89" s="449"/>
      <c r="D89" s="450"/>
      <c r="E89" s="450"/>
      <c r="F89" s="450"/>
      <c r="G89" s="450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  <c r="AU89" s="266"/>
      <c r="AV89" s="266"/>
      <c r="AW89" s="266"/>
      <c r="AX89" s="266"/>
      <c r="AY89" s="266"/>
      <c r="AZ89" s="266"/>
      <c r="BA89" s="266"/>
      <c r="BB89" s="266"/>
      <c r="BC89" s="266"/>
      <c r="BD89" s="266"/>
      <c r="BE89" s="266"/>
      <c r="BF89" s="266"/>
      <c r="BG89" s="266"/>
      <c r="BH89" s="266"/>
    </row>
    <row r="90" spans="1:60" ht="12.75" outlineLevel="1">
      <c r="A90" s="277">
        <v>33</v>
      </c>
      <c r="B90" s="278" t="s">
        <v>126</v>
      </c>
      <c r="C90" s="285" t="s">
        <v>127</v>
      </c>
      <c r="D90" s="279" t="s">
        <v>112</v>
      </c>
      <c r="E90" s="286">
        <v>112</v>
      </c>
      <c r="F90" s="281"/>
      <c r="G90" s="282">
        <f>ROUND(E90*F90,2)</f>
        <v>0</v>
      </c>
      <c r="H90" s="281">
        <v>46.75</v>
      </c>
      <c r="I90" s="282">
        <f>ROUND(E90*H90,2)</f>
        <v>5236</v>
      </c>
      <c r="J90" s="281">
        <v>31.45</v>
      </c>
      <c r="K90" s="282">
        <f>ROUND(E90*J90,2)</f>
        <v>3522.4</v>
      </c>
      <c r="L90" s="282">
        <v>21</v>
      </c>
      <c r="M90" s="282">
        <f>G90*(1+L90/100)</f>
        <v>0</v>
      </c>
      <c r="N90" s="282">
        <v>0</v>
      </c>
      <c r="O90" s="282">
        <f>ROUND(E90*N90,2)</f>
        <v>0</v>
      </c>
      <c r="P90" s="282">
        <v>0</v>
      </c>
      <c r="Q90" s="282">
        <f>ROUND(E90*P90,2)</f>
        <v>0</v>
      </c>
      <c r="R90" s="282" t="s">
        <v>108</v>
      </c>
      <c r="S90" s="282" t="s">
        <v>192</v>
      </c>
      <c r="T90" s="282" t="s">
        <v>192</v>
      </c>
      <c r="U90" s="269">
        <v>0.037</v>
      </c>
      <c r="V90" s="269">
        <f>ROUND(E90*U90,2)</f>
        <v>4.14</v>
      </c>
      <c r="W90" s="269"/>
      <c r="X90" s="269" t="s">
        <v>109</v>
      </c>
      <c r="Y90" s="266"/>
      <c r="Z90" s="266"/>
      <c r="AA90" s="266"/>
      <c r="AB90" s="266"/>
      <c r="AC90" s="266"/>
      <c r="AD90" s="266"/>
      <c r="AE90" s="266"/>
      <c r="AF90" s="266"/>
      <c r="AG90" s="266" t="s">
        <v>110</v>
      </c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  <c r="BB90" s="266"/>
      <c r="BC90" s="266"/>
      <c r="BD90" s="266"/>
      <c r="BE90" s="266"/>
      <c r="BF90" s="266"/>
      <c r="BG90" s="266"/>
      <c r="BH90" s="266"/>
    </row>
    <row r="91" spans="1:60" ht="12.75" outlineLevel="1">
      <c r="A91" s="267"/>
      <c r="B91" s="268"/>
      <c r="C91" s="445" t="s">
        <v>128</v>
      </c>
      <c r="D91" s="446"/>
      <c r="E91" s="446"/>
      <c r="F91" s="446"/>
      <c r="G91" s="446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6"/>
      <c r="Z91" s="266"/>
      <c r="AA91" s="266"/>
      <c r="AB91" s="266"/>
      <c r="AC91" s="266"/>
      <c r="AD91" s="266"/>
      <c r="AE91" s="266"/>
      <c r="AF91" s="266"/>
      <c r="AG91" s="266" t="s">
        <v>111</v>
      </c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6"/>
      <c r="AT91" s="266"/>
      <c r="AU91" s="266"/>
      <c r="AV91" s="266"/>
      <c r="AW91" s="266"/>
      <c r="AX91" s="266"/>
      <c r="AY91" s="266"/>
      <c r="AZ91" s="266"/>
      <c r="BA91" s="266"/>
      <c r="BB91" s="266"/>
      <c r="BC91" s="266"/>
      <c r="BD91" s="266"/>
      <c r="BE91" s="266"/>
      <c r="BF91" s="266"/>
      <c r="BG91" s="266"/>
      <c r="BH91" s="266"/>
    </row>
    <row r="92" spans="1:60" ht="12.75" outlineLevel="1">
      <c r="A92" s="267"/>
      <c r="B92" s="268"/>
      <c r="C92" s="447"/>
      <c r="D92" s="448"/>
      <c r="E92" s="448"/>
      <c r="F92" s="448"/>
      <c r="G92" s="448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6"/>
      <c r="Z92" s="266"/>
      <c r="AA92" s="266"/>
      <c r="AB92" s="266"/>
      <c r="AC92" s="266"/>
      <c r="AD92" s="266"/>
      <c r="AE92" s="266"/>
      <c r="AF92" s="266"/>
      <c r="AG92" s="266" t="s">
        <v>93</v>
      </c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  <c r="BF92" s="266"/>
      <c r="BG92" s="266"/>
      <c r="BH92" s="266"/>
    </row>
    <row r="93" spans="1:60" ht="12.75" outlineLevel="1">
      <c r="A93" s="271" t="s">
        <v>91</v>
      </c>
      <c r="B93" s="272" t="s">
        <v>170</v>
      </c>
      <c r="C93" s="284" t="s">
        <v>171</v>
      </c>
      <c r="D93" s="273"/>
      <c r="E93" s="274"/>
      <c r="F93" s="275"/>
      <c r="G93" s="275">
        <f>G94</f>
        <v>0</v>
      </c>
      <c r="H93" s="275"/>
      <c r="I93" s="275" t="e">
        <f>SUM(#REF!)</f>
        <v>#REF!</v>
      </c>
      <c r="J93" s="275"/>
      <c r="K93" s="275" t="e">
        <f>SUM(#REF!)</f>
        <v>#REF!</v>
      </c>
      <c r="L93" s="275"/>
      <c r="M93" s="275">
        <f>M94</f>
        <v>0</v>
      </c>
      <c r="N93" s="275"/>
      <c r="O93" s="275" t="e">
        <f>SUM(#REF!)</f>
        <v>#REF!</v>
      </c>
      <c r="P93" s="275"/>
      <c r="Q93" s="275" t="e">
        <f>SUM(#REF!)</f>
        <v>#REF!</v>
      </c>
      <c r="R93" s="275"/>
      <c r="S93" s="275"/>
      <c r="T93" s="276"/>
      <c r="U93" s="269"/>
      <c r="V93" s="269"/>
      <c r="W93" s="269"/>
      <c r="X93" s="269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  <c r="AX93" s="266"/>
      <c r="AY93" s="266"/>
      <c r="AZ93" s="266"/>
      <c r="BA93" s="266"/>
      <c r="BB93" s="266"/>
      <c r="BC93" s="266"/>
      <c r="BD93" s="266"/>
      <c r="BE93" s="266"/>
      <c r="BF93" s="266"/>
      <c r="BG93" s="266"/>
      <c r="BH93" s="266"/>
    </row>
    <row r="94" spans="1:60" ht="12.75" outlineLevel="1">
      <c r="A94" s="277">
        <v>34</v>
      </c>
      <c r="B94" s="296" t="s">
        <v>218</v>
      </c>
      <c r="C94" s="257" t="s">
        <v>217</v>
      </c>
      <c r="D94" s="279" t="s">
        <v>112</v>
      </c>
      <c r="E94" s="286">
        <f>E90</f>
        <v>112</v>
      </c>
      <c r="F94" s="281"/>
      <c r="G94" s="282">
        <f>E94*F94</f>
        <v>0</v>
      </c>
      <c r="H94" s="281">
        <v>5.52</v>
      </c>
      <c r="I94" s="282">
        <v>5.52</v>
      </c>
      <c r="J94" s="281">
        <v>183.48</v>
      </c>
      <c r="K94" s="282">
        <v>183.48</v>
      </c>
      <c r="L94" s="282">
        <v>21</v>
      </c>
      <c r="M94" s="282">
        <f>G94*1.21</f>
        <v>0</v>
      </c>
      <c r="N94" s="282">
        <v>0.00468</v>
      </c>
      <c r="O94" s="282">
        <v>0</v>
      </c>
      <c r="P94" s="282">
        <v>0</v>
      </c>
      <c r="Q94" s="282">
        <v>0</v>
      </c>
      <c r="R94" s="282" t="s">
        <v>172</v>
      </c>
      <c r="S94" s="282" t="s">
        <v>192</v>
      </c>
      <c r="T94" s="282" t="s">
        <v>100</v>
      </c>
      <c r="U94" s="269"/>
      <c r="V94" s="269"/>
      <c r="W94" s="269"/>
      <c r="X94" s="269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6"/>
      <c r="AW94" s="266"/>
      <c r="AX94" s="266"/>
      <c r="AY94" s="266"/>
      <c r="AZ94" s="266"/>
      <c r="BA94" s="266"/>
      <c r="BB94" s="266"/>
      <c r="BC94" s="266"/>
      <c r="BD94" s="266"/>
      <c r="BE94" s="266"/>
      <c r="BF94" s="266"/>
      <c r="BG94" s="266"/>
      <c r="BH94" s="266"/>
    </row>
    <row r="95" spans="1:60" ht="12.75" outlineLevel="1">
      <c r="A95" s="267"/>
      <c r="B95" s="268"/>
      <c r="C95" s="323"/>
      <c r="D95" s="324"/>
      <c r="E95" s="324"/>
      <c r="F95" s="324"/>
      <c r="G95" s="324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  <c r="AU95" s="266"/>
      <c r="AV95" s="266"/>
      <c r="AW95" s="266"/>
      <c r="AX95" s="266"/>
      <c r="AY95" s="266"/>
      <c r="AZ95" s="266"/>
      <c r="BA95" s="266"/>
      <c r="BB95" s="266"/>
      <c r="BC95" s="266"/>
      <c r="BD95" s="266"/>
      <c r="BE95" s="266"/>
      <c r="BF95" s="266"/>
      <c r="BG95" s="266"/>
      <c r="BH95" s="266"/>
    </row>
    <row r="96" spans="1:33" ht="12.75">
      <c r="A96" s="271" t="s">
        <v>91</v>
      </c>
      <c r="B96" s="272" t="s">
        <v>58</v>
      </c>
      <c r="C96" s="284" t="s">
        <v>59</v>
      </c>
      <c r="D96" s="273"/>
      <c r="E96" s="274"/>
      <c r="F96" s="275"/>
      <c r="G96" s="275">
        <f>SUMIF(AG97:AG102,"&lt;&gt;NOR",G97:G102)</f>
        <v>0</v>
      </c>
      <c r="H96" s="275"/>
      <c r="I96" s="275">
        <f>SUM(I97:I102)</f>
        <v>0</v>
      </c>
      <c r="J96" s="275"/>
      <c r="K96" s="275">
        <f>SUM(K97:K102)</f>
        <v>16441.42</v>
      </c>
      <c r="L96" s="275"/>
      <c r="M96" s="275">
        <f>SUM(M97:M102)</f>
        <v>0</v>
      </c>
      <c r="N96" s="275"/>
      <c r="O96" s="275">
        <f>SUM(O97:O102)</f>
        <v>0</v>
      </c>
      <c r="P96" s="275"/>
      <c r="Q96" s="275">
        <f>SUM(Q97:Q102)</f>
        <v>0</v>
      </c>
      <c r="R96" s="275"/>
      <c r="S96" s="275"/>
      <c r="T96" s="276"/>
      <c r="U96" s="147"/>
      <c r="V96" s="147">
        <f>SUM(V97:V102)</f>
        <v>10.93</v>
      </c>
      <c r="W96" s="147"/>
      <c r="X96" s="147"/>
      <c r="AG96" s="261" t="s">
        <v>92</v>
      </c>
    </row>
    <row r="97" spans="1:60" ht="12.75" outlineLevel="1">
      <c r="A97" s="277">
        <v>35</v>
      </c>
      <c r="B97" s="278" t="s">
        <v>147</v>
      </c>
      <c r="C97" s="285" t="s">
        <v>131</v>
      </c>
      <c r="D97" s="279" t="s">
        <v>124</v>
      </c>
      <c r="E97" s="286">
        <f>E86*0.08+E78*0.065+E53*1.1*0.06*2</f>
        <v>27.415</v>
      </c>
      <c r="F97" s="281"/>
      <c r="G97" s="282">
        <f>ROUND(E97*F97,2)</f>
        <v>0</v>
      </c>
      <c r="H97" s="281">
        <v>0</v>
      </c>
      <c r="I97" s="282">
        <f>ROUND(E97*H97,2)</f>
        <v>0</v>
      </c>
      <c r="J97" s="281">
        <v>225.5</v>
      </c>
      <c r="K97" s="282">
        <f>ROUND(E97*J97,2)</f>
        <v>6182.08</v>
      </c>
      <c r="L97" s="282">
        <v>21</v>
      </c>
      <c r="M97" s="282">
        <f>G97*(1+L97/100)</f>
        <v>0</v>
      </c>
      <c r="N97" s="282">
        <v>0</v>
      </c>
      <c r="O97" s="282">
        <f>ROUND(E97*N97,2)</f>
        <v>0</v>
      </c>
      <c r="P97" s="282">
        <v>0</v>
      </c>
      <c r="Q97" s="282">
        <f>ROUND(E97*P97,2)</f>
        <v>0</v>
      </c>
      <c r="R97" s="282" t="s">
        <v>108</v>
      </c>
      <c r="S97" s="282" t="s">
        <v>192</v>
      </c>
      <c r="T97" s="282" t="s">
        <v>192</v>
      </c>
      <c r="U97" s="269">
        <v>0.39</v>
      </c>
      <c r="V97" s="269">
        <f>ROUND(E97*U97,2)</f>
        <v>10.69</v>
      </c>
      <c r="W97" s="269"/>
      <c r="X97" s="269" t="s">
        <v>129</v>
      </c>
      <c r="Y97" s="266"/>
      <c r="Z97" s="266"/>
      <c r="AA97" s="266"/>
      <c r="AB97" s="266"/>
      <c r="AC97" s="266"/>
      <c r="AD97" s="266"/>
      <c r="AE97" s="266"/>
      <c r="AF97" s="266"/>
      <c r="AG97" s="266" t="s">
        <v>130</v>
      </c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6"/>
      <c r="BD97" s="266"/>
      <c r="BE97" s="266"/>
      <c r="BF97" s="266"/>
      <c r="BG97" s="266"/>
      <c r="BH97" s="266"/>
    </row>
    <row r="98" spans="1:60" ht="12.75" outlineLevel="1">
      <c r="A98" s="267"/>
      <c r="B98" s="268"/>
      <c r="C98" s="447"/>
      <c r="D98" s="448"/>
      <c r="E98" s="448"/>
      <c r="F98" s="448"/>
      <c r="G98" s="448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6"/>
      <c r="Z98" s="266"/>
      <c r="AA98" s="266"/>
      <c r="AB98" s="266"/>
      <c r="AC98" s="266"/>
      <c r="AD98" s="266"/>
      <c r="AE98" s="266"/>
      <c r="AF98" s="266"/>
      <c r="AG98" s="266" t="s">
        <v>93</v>
      </c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  <c r="AU98" s="266"/>
      <c r="AV98" s="266"/>
      <c r="AW98" s="266"/>
      <c r="AX98" s="266"/>
      <c r="AY98" s="266"/>
      <c r="AZ98" s="266"/>
      <c r="BA98" s="266"/>
      <c r="BB98" s="266"/>
      <c r="BC98" s="266"/>
      <c r="BD98" s="266"/>
      <c r="BE98" s="266"/>
      <c r="BF98" s="266"/>
      <c r="BG98" s="266"/>
      <c r="BH98" s="266"/>
    </row>
    <row r="99" spans="1:60" ht="12.75" outlineLevel="1">
      <c r="A99" s="277">
        <v>36</v>
      </c>
      <c r="B99" s="278" t="s">
        <v>173</v>
      </c>
      <c r="C99" s="285" t="s">
        <v>174</v>
      </c>
      <c r="D99" s="279" t="s">
        <v>124</v>
      </c>
      <c r="E99" s="286">
        <f>E45*1.8+E47*0.2*2+E49*0.12*2.2</f>
        <v>131.216</v>
      </c>
      <c r="F99" s="281"/>
      <c r="G99" s="282">
        <f>ROUND(E99*F99,2)</f>
        <v>0</v>
      </c>
      <c r="H99" s="281">
        <v>0</v>
      </c>
      <c r="I99" s="282">
        <f>ROUND(E99*H99,2)</f>
        <v>0</v>
      </c>
      <c r="J99" s="281">
        <v>71.2</v>
      </c>
      <c r="K99" s="282">
        <f>ROUND(E99*J99,2)</f>
        <v>9342.58</v>
      </c>
      <c r="L99" s="282">
        <v>21</v>
      </c>
      <c r="M99" s="282">
        <f>G99*(1+L99/100)</f>
        <v>0</v>
      </c>
      <c r="N99" s="282">
        <v>0</v>
      </c>
      <c r="O99" s="282">
        <f>ROUND(E99*N99,2)</f>
        <v>0</v>
      </c>
      <c r="P99" s="282">
        <v>0</v>
      </c>
      <c r="Q99" s="282">
        <f>ROUND(E99*P99,2)</f>
        <v>0</v>
      </c>
      <c r="R99" s="282" t="s">
        <v>108</v>
      </c>
      <c r="S99" s="282" t="s">
        <v>192</v>
      </c>
      <c r="T99" s="282" t="s">
        <v>192</v>
      </c>
      <c r="U99" s="269"/>
      <c r="V99" s="269"/>
      <c r="W99" s="269"/>
      <c r="X99" s="269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266"/>
      <c r="BE99" s="266"/>
      <c r="BF99" s="266"/>
      <c r="BG99" s="266"/>
      <c r="BH99" s="266"/>
    </row>
    <row r="100" spans="1:60" ht="12.75" outlineLevel="1">
      <c r="A100" s="267"/>
      <c r="B100" s="268"/>
      <c r="C100" s="447"/>
      <c r="D100" s="448"/>
      <c r="E100" s="448"/>
      <c r="F100" s="448"/>
      <c r="G100" s="448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  <c r="AU100" s="266"/>
      <c r="AV100" s="266"/>
      <c r="AW100" s="266"/>
      <c r="AX100" s="266"/>
      <c r="AY100" s="266"/>
      <c r="AZ100" s="266"/>
      <c r="BA100" s="266"/>
      <c r="BB100" s="266"/>
      <c r="BC100" s="266"/>
      <c r="BD100" s="266"/>
      <c r="BE100" s="266"/>
      <c r="BF100" s="266"/>
      <c r="BG100" s="266"/>
      <c r="BH100" s="266"/>
    </row>
    <row r="101" spans="1:60" ht="12.75" outlineLevel="1">
      <c r="A101" s="277">
        <v>37</v>
      </c>
      <c r="B101" s="278" t="s">
        <v>148</v>
      </c>
      <c r="C101" s="285" t="s">
        <v>196</v>
      </c>
      <c r="D101" s="279" t="s">
        <v>124</v>
      </c>
      <c r="E101" s="280">
        <f>E51*0.05*2.53</f>
        <v>15.0535</v>
      </c>
      <c r="F101" s="281"/>
      <c r="G101" s="282">
        <f>ROUND(E101*F101,2)</f>
        <v>0</v>
      </c>
      <c r="H101" s="281">
        <v>0</v>
      </c>
      <c r="I101" s="282">
        <f>ROUND(E101*H101,2)</f>
        <v>0</v>
      </c>
      <c r="J101" s="281">
        <v>60.9</v>
      </c>
      <c r="K101" s="282">
        <f>ROUND(E101*J101,2)</f>
        <v>916.76</v>
      </c>
      <c r="L101" s="282">
        <v>21</v>
      </c>
      <c r="M101" s="282">
        <f>G101*(1+L101/100)</f>
        <v>0</v>
      </c>
      <c r="N101" s="282">
        <v>0</v>
      </c>
      <c r="O101" s="282">
        <f>ROUND(E101*N101,2)</f>
        <v>0</v>
      </c>
      <c r="P101" s="282">
        <v>0</v>
      </c>
      <c r="Q101" s="282">
        <f>ROUND(E101*P101,2)</f>
        <v>0</v>
      </c>
      <c r="R101" s="282" t="s">
        <v>108</v>
      </c>
      <c r="S101" s="282" t="s">
        <v>192</v>
      </c>
      <c r="T101" s="282" t="s">
        <v>192</v>
      </c>
      <c r="U101" s="269">
        <v>0.016</v>
      </c>
      <c r="V101" s="269">
        <f>ROUND(E101*U101,2)</f>
        <v>0.24</v>
      </c>
      <c r="W101" s="269"/>
      <c r="X101" s="269" t="s">
        <v>129</v>
      </c>
      <c r="Y101" s="266"/>
      <c r="Z101" s="266"/>
      <c r="AA101" s="266"/>
      <c r="AB101" s="266"/>
      <c r="AC101" s="266"/>
      <c r="AD101" s="266"/>
      <c r="AE101" s="266"/>
      <c r="AF101" s="266"/>
      <c r="AG101" s="266" t="s">
        <v>130</v>
      </c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266"/>
      <c r="BE101" s="266"/>
      <c r="BF101" s="266"/>
      <c r="BG101" s="266"/>
      <c r="BH101" s="266"/>
    </row>
    <row r="102" spans="1:60" ht="12.75" outlineLevel="1">
      <c r="A102" s="267"/>
      <c r="B102" s="268"/>
      <c r="C102" s="447"/>
      <c r="D102" s="448"/>
      <c r="E102" s="448"/>
      <c r="F102" s="448"/>
      <c r="G102" s="448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6"/>
      <c r="Z102" s="266"/>
      <c r="AA102" s="266"/>
      <c r="AB102" s="266"/>
      <c r="AC102" s="266"/>
      <c r="AD102" s="266"/>
      <c r="AE102" s="266"/>
      <c r="AF102" s="266"/>
      <c r="AG102" s="266" t="s">
        <v>93</v>
      </c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266"/>
      <c r="BE102" s="266"/>
      <c r="BF102" s="266"/>
      <c r="BG102" s="266"/>
      <c r="BH102" s="266"/>
    </row>
    <row r="103" spans="1:33" ht="12.75">
      <c r="A103" s="271" t="s">
        <v>91</v>
      </c>
      <c r="B103" s="272" t="s">
        <v>60</v>
      </c>
      <c r="C103" s="284" t="s">
        <v>61</v>
      </c>
      <c r="D103" s="273"/>
      <c r="E103" s="274"/>
      <c r="F103" s="275"/>
      <c r="G103" s="275">
        <f>SUMIF(AG104:AG109,"&lt;&gt;NOR",G104:G109)</f>
        <v>0</v>
      </c>
      <c r="H103" s="275"/>
      <c r="I103" s="275">
        <f>SUM(I104:I109)</f>
        <v>0</v>
      </c>
      <c r="J103" s="275"/>
      <c r="K103" s="275">
        <f>SUM(K104:K109)</f>
        <v>18812.199999999997</v>
      </c>
      <c r="L103" s="275"/>
      <c r="M103" s="275">
        <f>SUM(M104:M109)</f>
        <v>0</v>
      </c>
      <c r="N103" s="275"/>
      <c r="O103" s="275">
        <f>SUM(O104:O109)</f>
        <v>0</v>
      </c>
      <c r="P103" s="275"/>
      <c r="Q103" s="275">
        <f>SUM(Q104:Q109)</f>
        <v>0</v>
      </c>
      <c r="R103" s="275"/>
      <c r="S103" s="275"/>
      <c r="T103" s="276"/>
      <c r="U103" s="147"/>
      <c r="V103" s="147">
        <f>SUM(V104:V109)</f>
        <v>4.35</v>
      </c>
      <c r="W103" s="147"/>
      <c r="X103" s="147"/>
      <c r="Z103" s="263"/>
      <c r="AG103" s="261" t="s">
        <v>92</v>
      </c>
    </row>
    <row r="104" spans="1:60" ht="12.75" outlineLevel="1">
      <c r="A104" s="277">
        <v>38</v>
      </c>
      <c r="B104" s="278" t="s">
        <v>197</v>
      </c>
      <c r="C104" s="285" t="s">
        <v>198</v>
      </c>
      <c r="D104" s="279" t="s">
        <v>124</v>
      </c>
      <c r="E104" s="286">
        <f>E9*0.1*2.2</f>
        <v>14.960000000000003</v>
      </c>
      <c r="F104" s="281"/>
      <c r="G104" s="282">
        <f>ROUND(E104*F104,2)</f>
        <v>0</v>
      </c>
      <c r="H104" s="281">
        <v>0</v>
      </c>
      <c r="I104" s="282">
        <f>ROUND(E104*H104,2)</f>
        <v>0</v>
      </c>
      <c r="J104" s="281">
        <v>406.5</v>
      </c>
      <c r="K104" s="282">
        <f>ROUND(E104*J104,2)</f>
        <v>6081.24</v>
      </c>
      <c r="L104" s="282">
        <v>21</v>
      </c>
      <c r="M104" s="282">
        <f>G104*(1+L104/100)</f>
        <v>0</v>
      </c>
      <c r="N104" s="282">
        <v>0</v>
      </c>
      <c r="O104" s="282">
        <f>ROUND(E104*N104,2)</f>
        <v>0</v>
      </c>
      <c r="P104" s="282">
        <v>0</v>
      </c>
      <c r="Q104" s="282">
        <f>ROUND(E104*P104,2)</f>
        <v>0</v>
      </c>
      <c r="R104" s="282"/>
      <c r="S104" s="282" t="s">
        <v>192</v>
      </c>
      <c r="T104" s="282" t="s">
        <v>192</v>
      </c>
      <c r="U104" s="269">
        <v>0.291</v>
      </c>
      <c r="V104" s="269">
        <f>ROUND(E104*U104,2)</f>
        <v>4.35</v>
      </c>
      <c r="W104" s="269"/>
      <c r="X104" s="269" t="s">
        <v>132</v>
      </c>
      <c r="Y104" s="173"/>
      <c r="Z104" s="266"/>
      <c r="AA104" s="266"/>
      <c r="AB104" s="266"/>
      <c r="AC104" s="266"/>
      <c r="AD104" s="266"/>
      <c r="AE104" s="266"/>
      <c r="AF104" s="266"/>
      <c r="AG104" s="266" t="s">
        <v>133</v>
      </c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6"/>
      <c r="BG104" s="266"/>
      <c r="BH104" s="266"/>
    </row>
    <row r="105" spans="1:60" ht="12.75" outlineLevel="1">
      <c r="A105" s="267"/>
      <c r="B105" s="268"/>
      <c r="C105" s="449"/>
      <c r="D105" s="450"/>
      <c r="E105" s="450"/>
      <c r="F105" s="450"/>
      <c r="G105" s="450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6"/>
      <c r="Z105" s="266"/>
      <c r="AA105" s="266"/>
      <c r="AB105" s="266"/>
      <c r="AC105" s="266"/>
      <c r="AD105" s="266"/>
      <c r="AE105" s="266"/>
      <c r="AF105" s="266"/>
      <c r="AG105" s="266" t="s">
        <v>93</v>
      </c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  <c r="BF105" s="266"/>
      <c r="BG105" s="266"/>
      <c r="BH105" s="266"/>
    </row>
    <row r="106" spans="1:60" ht="12.75" outlineLevel="1">
      <c r="A106" s="277">
        <v>39</v>
      </c>
      <c r="B106" s="278" t="s">
        <v>199</v>
      </c>
      <c r="C106" s="285" t="s">
        <v>200</v>
      </c>
      <c r="D106" s="279" t="s">
        <v>124</v>
      </c>
      <c r="E106" s="280">
        <f>E104*19</f>
        <v>284.24000000000007</v>
      </c>
      <c r="F106" s="281"/>
      <c r="G106" s="282">
        <f>ROUND(E106*F106,2)</f>
        <v>0</v>
      </c>
      <c r="H106" s="281">
        <v>0</v>
      </c>
      <c r="I106" s="282">
        <f>ROUND(E106*H106,2)</f>
        <v>0</v>
      </c>
      <c r="J106" s="281">
        <v>29</v>
      </c>
      <c r="K106" s="282">
        <f>ROUND(E106*J106,2)</f>
        <v>8242.96</v>
      </c>
      <c r="L106" s="282">
        <v>21</v>
      </c>
      <c r="M106" s="282">
        <f>G106*(1+L106/100)</f>
        <v>0</v>
      </c>
      <c r="N106" s="282">
        <v>0</v>
      </c>
      <c r="O106" s="282">
        <f>ROUND(E106*N106,2)</f>
        <v>0</v>
      </c>
      <c r="P106" s="282">
        <v>0</v>
      </c>
      <c r="Q106" s="242">
        <f>ROUND(E106*P106,2)</f>
        <v>0</v>
      </c>
      <c r="R106" s="282" t="s">
        <v>108</v>
      </c>
      <c r="S106" s="282" t="s">
        <v>192</v>
      </c>
      <c r="T106" s="282" t="s">
        <v>192</v>
      </c>
      <c r="U106" s="269"/>
      <c r="V106" s="269"/>
      <c r="W106" s="269"/>
      <c r="X106" s="269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266"/>
    </row>
    <row r="107" spans="1:60" ht="12.75" outlineLevel="1">
      <c r="A107" s="267"/>
      <c r="B107" s="268"/>
      <c r="C107" s="453"/>
      <c r="D107" s="453"/>
      <c r="E107" s="453"/>
      <c r="F107" s="453"/>
      <c r="G107" s="453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6"/>
      <c r="BF107" s="266"/>
      <c r="BG107" s="266"/>
      <c r="BH107" s="266"/>
    </row>
    <row r="108" spans="1:60" ht="12.75" outlineLevel="1">
      <c r="A108" s="277">
        <v>40</v>
      </c>
      <c r="B108" s="278" t="s">
        <v>150</v>
      </c>
      <c r="C108" s="285" t="s">
        <v>149</v>
      </c>
      <c r="D108" s="279" t="s">
        <v>124</v>
      </c>
      <c r="E108" s="280">
        <f>E104</f>
        <v>14.960000000000003</v>
      </c>
      <c r="F108" s="281"/>
      <c r="G108" s="282">
        <f>ROUND(E108*F108,2)</f>
        <v>0</v>
      </c>
      <c r="H108" s="281">
        <v>0</v>
      </c>
      <c r="I108" s="282">
        <f>ROUND(E108*H108,2)</f>
        <v>0</v>
      </c>
      <c r="J108" s="281">
        <v>300</v>
      </c>
      <c r="K108" s="282">
        <f>ROUND(E108*J108,2)</f>
        <v>4488</v>
      </c>
      <c r="L108" s="282">
        <v>21</v>
      </c>
      <c r="M108" s="282">
        <f>G108*(1+L108/100)</f>
        <v>0</v>
      </c>
      <c r="N108" s="282">
        <v>0</v>
      </c>
      <c r="O108" s="282">
        <f>ROUND(E108*N108,2)</f>
        <v>0</v>
      </c>
      <c r="P108" s="282">
        <v>0</v>
      </c>
      <c r="Q108" s="282">
        <f>ROUND(E108*P108,2)</f>
        <v>0</v>
      </c>
      <c r="R108" s="282" t="s">
        <v>134</v>
      </c>
      <c r="S108" s="282" t="s">
        <v>192</v>
      </c>
      <c r="T108" s="282" t="s">
        <v>192</v>
      </c>
      <c r="U108" s="269">
        <v>0</v>
      </c>
      <c r="V108" s="269">
        <f>ROUND(E108*U108,2)</f>
        <v>0</v>
      </c>
      <c r="W108" s="269"/>
      <c r="X108" s="269" t="s">
        <v>132</v>
      </c>
      <c r="Y108" s="266"/>
      <c r="Z108" s="266"/>
      <c r="AA108" s="266"/>
      <c r="AB108" s="266"/>
      <c r="AC108" s="266"/>
      <c r="AD108" s="266"/>
      <c r="AE108" s="266"/>
      <c r="AF108" s="266"/>
      <c r="AG108" s="266" t="s">
        <v>133</v>
      </c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6"/>
    </row>
    <row r="109" spans="1:60" ht="12.75" outlineLevel="1">
      <c r="A109" s="267"/>
      <c r="B109" s="268"/>
      <c r="C109" s="449"/>
      <c r="D109" s="450"/>
      <c r="E109" s="450"/>
      <c r="F109" s="450"/>
      <c r="G109" s="450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6"/>
      <c r="Z109" s="266"/>
      <c r="AA109" s="266"/>
      <c r="AB109" s="266"/>
      <c r="AC109" s="266"/>
      <c r="AD109" s="266"/>
      <c r="AE109" s="266"/>
      <c r="AF109" s="266"/>
      <c r="AG109" s="266" t="s">
        <v>93</v>
      </c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266"/>
      <c r="BE109" s="266"/>
      <c r="BF109" s="266"/>
      <c r="BG109" s="266"/>
      <c r="BH109" s="266"/>
    </row>
    <row r="110" spans="1:33" ht="12.75">
      <c r="A110" s="271" t="s">
        <v>91</v>
      </c>
      <c r="B110" s="272" t="s">
        <v>63</v>
      </c>
      <c r="C110" s="284" t="s">
        <v>26</v>
      </c>
      <c r="D110" s="273"/>
      <c r="E110" s="274"/>
      <c r="F110" s="275"/>
      <c r="G110" s="275">
        <f>G111+G113+G116+G119</f>
        <v>0</v>
      </c>
      <c r="H110" s="275"/>
      <c r="I110" s="275">
        <f>SUM(I113:I115)</f>
        <v>0</v>
      </c>
      <c r="J110" s="275"/>
      <c r="K110" s="275">
        <f>SUM(K113:K115)</f>
        <v>0</v>
      </c>
      <c r="L110" s="275"/>
      <c r="M110" s="275">
        <f>M111+M113+M116+M119</f>
        <v>0</v>
      </c>
      <c r="N110" s="275"/>
      <c r="O110" s="275">
        <f>SUM(O113:O115)</f>
        <v>0</v>
      </c>
      <c r="P110" s="275"/>
      <c r="Q110" s="275">
        <f>SUM(Q113:Q115)</f>
        <v>0</v>
      </c>
      <c r="R110" s="275"/>
      <c r="S110" s="275"/>
      <c r="T110" s="276"/>
      <c r="U110" s="147"/>
      <c r="V110" s="147">
        <f>SUM(V113:V115)</f>
        <v>0</v>
      </c>
      <c r="W110" s="147"/>
      <c r="X110" s="147"/>
      <c r="Z110" s="263"/>
      <c r="AG110" s="261" t="s">
        <v>92</v>
      </c>
    </row>
    <row r="111" spans="1:24" ht="12.75">
      <c r="A111" s="277">
        <v>41</v>
      </c>
      <c r="B111" s="278" t="s">
        <v>155</v>
      </c>
      <c r="C111" s="285" t="s">
        <v>103</v>
      </c>
      <c r="D111" s="279" t="s">
        <v>99</v>
      </c>
      <c r="E111" s="280">
        <v>1</v>
      </c>
      <c r="F111" s="281"/>
      <c r="G111" s="282">
        <f>ROUND(E111*F111,2)</f>
        <v>0</v>
      </c>
      <c r="H111" s="281">
        <v>0</v>
      </c>
      <c r="I111" s="282">
        <f>ROUND(E111*H111,2)</f>
        <v>0</v>
      </c>
      <c r="J111" s="281">
        <v>0</v>
      </c>
      <c r="K111" s="282">
        <f>ROUND(E111*J111,2)</f>
        <v>0</v>
      </c>
      <c r="L111" s="282">
        <v>21</v>
      </c>
      <c r="M111" s="282">
        <f>G111*(1+L111/100)</f>
        <v>0</v>
      </c>
      <c r="N111" s="282">
        <v>0</v>
      </c>
      <c r="O111" s="282">
        <f>ROUND(E111*N111,2)</f>
        <v>0</v>
      </c>
      <c r="P111" s="282">
        <v>0</v>
      </c>
      <c r="Q111" s="282">
        <f>ROUND(E111*P111,2)</f>
        <v>0</v>
      </c>
      <c r="R111" s="282"/>
      <c r="S111" s="282" t="s">
        <v>192</v>
      </c>
      <c r="T111" s="283" t="s">
        <v>100</v>
      </c>
      <c r="U111" s="147"/>
      <c r="V111" s="147"/>
      <c r="W111" s="147"/>
      <c r="X111" s="147"/>
    </row>
    <row r="112" spans="1:24" ht="12.75">
      <c r="A112" s="170"/>
      <c r="B112" s="171"/>
      <c r="C112" s="449"/>
      <c r="D112" s="450"/>
      <c r="E112" s="450"/>
      <c r="F112" s="450"/>
      <c r="G112" s="450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47"/>
      <c r="V112" s="147"/>
      <c r="W112" s="147"/>
      <c r="X112" s="147"/>
    </row>
    <row r="113" spans="1:60" ht="12.75" outlineLevel="1">
      <c r="A113" s="329">
        <v>42</v>
      </c>
      <c r="B113" s="330" t="s">
        <v>135</v>
      </c>
      <c r="C113" s="331" t="s">
        <v>136</v>
      </c>
      <c r="D113" s="332" t="s">
        <v>99</v>
      </c>
      <c r="E113" s="328">
        <v>1</v>
      </c>
      <c r="F113" s="281"/>
      <c r="G113" s="333">
        <f>ROUND(E113*F113,2)</f>
        <v>0</v>
      </c>
      <c r="H113" s="334">
        <v>0</v>
      </c>
      <c r="I113" s="333">
        <f>ROUND(E113*H113,2)</f>
        <v>0</v>
      </c>
      <c r="J113" s="334">
        <v>0</v>
      </c>
      <c r="K113" s="333">
        <f>ROUND(E113*J113,2)</f>
        <v>0</v>
      </c>
      <c r="L113" s="333">
        <v>21</v>
      </c>
      <c r="M113" s="333">
        <f>G113*(1+L113/100)</f>
        <v>0</v>
      </c>
      <c r="N113" s="333">
        <v>0</v>
      </c>
      <c r="O113" s="333">
        <f>ROUND(E113*N113,2)</f>
        <v>0</v>
      </c>
      <c r="P113" s="333">
        <v>0</v>
      </c>
      <c r="Q113" s="333">
        <f>ROUND(E113*P113,2)</f>
        <v>0</v>
      </c>
      <c r="R113" s="333"/>
      <c r="S113" s="333" t="s">
        <v>192</v>
      </c>
      <c r="T113" s="348" t="s">
        <v>100</v>
      </c>
      <c r="U113" s="269">
        <v>0</v>
      </c>
      <c r="V113" s="269">
        <f>ROUND(E113*U113,2)</f>
        <v>0</v>
      </c>
      <c r="W113" s="269"/>
      <c r="X113" s="269" t="s">
        <v>101</v>
      </c>
      <c r="Y113" s="266"/>
      <c r="Z113" s="266"/>
      <c r="AA113" s="266"/>
      <c r="AB113" s="266"/>
      <c r="AC113" s="266"/>
      <c r="AD113" s="266"/>
      <c r="AE113" s="266"/>
      <c r="AF113" s="266"/>
      <c r="AG113" s="266" t="s">
        <v>102</v>
      </c>
      <c r="AH113" s="266"/>
      <c r="AI113" s="266"/>
      <c r="AJ113" s="266"/>
      <c r="AK113" s="266"/>
      <c r="AL113" s="266"/>
      <c r="AM113" s="266"/>
      <c r="AN113" s="266"/>
      <c r="AO113" s="266"/>
      <c r="AP113" s="266"/>
      <c r="AQ113" s="266"/>
      <c r="AR113" s="266"/>
      <c r="AS113" s="266"/>
      <c r="AT113" s="266"/>
      <c r="AU113" s="266"/>
      <c r="AV113" s="266"/>
      <c r="AW113" s="266"/>
      <c r="AX113" s="266"/>
      <c r="AY113" s="266"/>
      <c r="AZ113" s="266"/>
      <c r="BA113" s="266"/>
      <c r="BB113" s="266"/>
      <c r="BC113" s="266"/>
      <c r="BD113" s="266"/>
      <c r="BE113" s="266"/>
      <c r="BF113" s="266"/>
      <c r="BG113" s="266"/>
      <c r="BH113" s="266"/>
    </row>
    <row r="114" spans="1:60" ht="22.5" outlineLevel="1">
      <c r="A114" s="267"/>
      <c r="B114" s="268"/>
      <c r="C114" s="451" t="s">
        <v>137</v>
      </c>
      <c r="D114" s="452"/>
      <c r="E114" s="452"/>
      <c r="F114" s="452"/>
      <c r="G114" s="452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6"/>
      <c r="Z114" s="266"/>
      <c r="AA114" s="266"/>
      <c r="AB114" s="266"/>
      <c r="AC114" s="266"/>
      <c r="AD114" s="266"/>
      <c r="AE114" s="266"/>
      <c r="AF114" s="266"/>
      <c r="AG114" s="266" t="s">
        <v>104</v>
      </c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162" t="str">
        <f>C114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14" s="266"/>
      <c r="BC114" s="266"/>
      <c r="BD114" s="266"/>
      <c r="BE114" s="266"/>
      <c r="BF114" s="266"/>
      <c r="BG114" s="266"/>
      <c r="BH114" s="266"/>
    </row>
    <row r="115" spans="1:60" ht="12.75" outlineLevel="1">
      <c r="A115" s="267"/>
      <c r="B115" s="268"/>
      <c r="C115" s="447"/>
      <c r="D115" s="448"/>
      <c r="E115" s="448"/>
      <c r="F115" s="448"/>
      <c r="G115" s="448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6"/>
      <c r="Z115" s="266"/>
      <c r="AA115" s="266"/>
      <c r="AB115" s="266"/>
      <c r="AC115" s="266"/>
      <c r="AD115" s="266"/>
      <c r="AE115" s="266"/>
      <c r="AF115" s="266"/>
      <c r="AG115" s="266" t="s">
        <v>93</v>
      </c>
      <c r="AH115" s="266"/>
      <c r="AI115" s="266"/>
      <c r="AJ115" s="266"/>
      <c r="AK115" s="266"/>
      <c r="AL115" s="266"/>
      <c r="AM115" s="266"/>
      <c r="AN115" s="266"/>
      <c r="AO115" s="266"/>
      <c r="AP115" s="266"/>
      <c r="AQ115" s="266"/>
      <c r="AR115" s="266"/>
      <c r="AS115" s="266"/>
      <c r="AT115" s="266"/>
      <c r="AU115" s="266"/>
      <c r="AV115" s="266"/>
      <c r="AW115" s="266"/>
      <c r="AX115" s="266"/>
      <c r="AY115" s="266"/>
      <c r="AZ115" s="266"/>
      <c r="BA115" s="266"/>
      <c r="BB115" s="266"/>
      <c r="BC115" s="266"/>
      <c r="BD115" s="266"/>
      <c r="BE115" s="266"/>
      <c r="BF115" s="266"/>
      <c r="BG115" s="266"/>
      <c r="BH115" s="266"/>
    </row>
    <row r="116" spans="1:60" ht="12.75" outlineLevel="1">
      <c r="A116" s="329">
        <v>43</v>
      </c>
      <c r="B116" s="330" t="s">
        <v>151</v>
      </c>
      <c r="C116" s="331" t="s">
        <v>98</v>
      </c>
      <c r="D116" s="332" t="s">
        <v>99</v>
      </c>
      <c r="E116" s="328">
        <v>1</v>
      </c>
      <c r="F116" s="281"/>
      <c r="G116" s="333">
        <f>ROUND(E116*F116,2)</f>
        <v>0</v>
      </c>
      <c r="H116" s="334">
        <v>0</v>
      </c>
      <c r="I116" s="333">
        <f>ROUND(E116*H116,2)</f>
        <v>0</v>
      </c>
      <c r="J116" s="334">
        <v>0</v>
      </c>
      <c r="K116" s="333">
        <f>ROUND(E116*J116,2)</f>
        <v>0</v>
      </c>
      <c r="L116" s="333">
        <v>21</v>
      </c>
      <c r="M116" s="333">
        <f>G116*(1+L116/100)</f>
        <v>0</v>
      </c>
      <c r="N116" s="333">
        <v>0</v>
      </c>
      <c r="O116" s="333">
        <f>ROUND(E116*N116,2)</f>
        <v>0</v>
      </c>
      <c r="P116" s="333">
        <v>0</v>
      </c>
      <c r="Q116" s="333">
        <f>ROUND(E116*P116,2)</f>
        <v>0</v>
      </c>
      <c r="R116" s="333"/>
      <c r="S116" s="333" t="s">
        <v>192</v>
      </c>
      <c r="T116" s="348" t="s">
        <v>100</v>
      </c>
      <c r="U116" s="269"/>
      <c r="V116" s="269"/>
      <c r="W116" s="269"/>
      <c r="X116" s="269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  <c r="AJ116" s="266"/>
      <c r="AK116" s="266"/>
      <c r="AL116" s="266"/>
      <c r="AM116" s="266"/>
      <c r="AN116" s="266"/>
      <c r="AO116" s="266"/>
      <c r="AP116" s="266"/>
      <c r="AQ116" s="266"/>
      <c r="AR116" s="266"/>
      <c r="AS116" s="266"/>
      <c r="AT116" s="266"/>
      <c r="AU116" s="266"/>
      <c r="AV116" s="266"/>
      <c r="AW116" s="266"/>
      <c r="AX116" s="266"/>
      <c r="AY116" s="266"/>
      <c r="AZ116" s="266"/>
      <c r="BA116" s="266"/>
      <c r="BB116" s="266"/>
      <c r="BC116" s="266"/>
      <c r="BD116" s="266"/>
      <c r="BE116" s="266"/>
      <c r="BF116" s="266"/>
      <c r="BG116" s="266"/>
      <c r="BH116" s="266"/>
    </row>
    <row r="117" spans="1:60" ht="12.75" outlineLevel="1">
      <c r="A117" s="267"/>
      <c r="B117" s="268"/>
      <c r="C117" s="451" t="s">
        <v>310</v>
      </c>
      <c r="D117" s="452"/>
      <c r="E117" s="452"/>
      <c r="F117" s="452"/>
      <c r="G117" s="452"/>
      <c r="H117" s="270"/>
      <c r="I117" s="269"/>
      <c r="J117" s="270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6"/>
      <c r="Z117" s="266"/>
      <c r="AA117" s="266"/>
      <c r="AB117" s="266"/>
      <c r="AC117" s="266"/>
      <c r="AD117" s="266"/>
      <c r="AE117" s="266"/>
      <c r="AF117" s="266"/>
      <c r="AG117" s="266"/>
      <c r="AH117" s="266"/>
      <c r="AI117" s="266"/>
      <c r="AJ117" s="266"/>
      <c r="AK117" s="266"/>
      <c r="AL117" s="266"/>
      <c r="AM117" s="266"/>
      <c r="AN117" s="266"/>
      <c r="AO117" s="266"/>
      <c r="AP117" s="266"/>
      <c r="AQ117" s="266"/>
      <c r="AR117" s="266"/>
      <c r="AS117" s="266"/>
      <c r="AT117" s="266"/>
      <c r="AU117" s="266"/>
      <c r="AV117" s="266"/>
      <c r="AW117" s="266"/>
      <c r="AX117" s="266"/>
      <c r="AY117" s="266"/>
      <c r="AZ117" s="266"/>
      <c r="BA117" s="266"/>
      <c r="BB117" s="266"/>
      <c r="BC117" s="266"/>
      <c r="BD117" s="266"/>
      <c r="BE117" s="266"/>
      <c r="BF117" s="266"/>
      <c r="BG117" s="266"/>
      <c r="BH117" s="266"/>
    </row>
    <row r="118" spans="1:60" ht="12.75" outlineLevel="1">
      <c r="A118" s="267"/>
      <c r="B118" s="268"/>
      <c r="C118" s="447"/>
      <c r="D118" s="448"/>
      <c r="E118" s="448"/>
      <c r="F118" s="448"/>
      <c r="G118" s="448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266"/>
      <c r="AT118" s="266"/>
      <c r="AU118" s="266"/>
      <c r="AV118" s="266"/>
      <c r="AW118" s="266"/>
      <c r="AX118" s="266"/>
      <c r="AY118" s="266"/>
      <c r="AZ118" s="266"/>
      <c r="BA118" s="266"/>
      <c r="BB118" s="266"/>
      <c r="BC118" s="266"/>
      <c r="BD118" s="266"/>
      <c r="BE118" s="266"/>
      <c r="BF118" s="266"/>
      <c r="BG118" s="266"/>
      <c r="BH118" s="266"/>
    </row>
    <row r="119" spans="1:60" ht="12.75" outlineLevel="1">
      <c r="A119" s="277">
        <v>44</v>
      </c>
      <c r="B119" s="278" t="s">
        <v>105</v>
      </c>
      <c r="C119" s="285" t="s">
        <v>106</v>
      </c>
      <c r="D119" s="279" t="s">
        <v>99</v>
      </c>
      <c r="E119" s="280">
        <v>1</v>
      </c>
      <c r="F119" s="281"/>
      <c r="G119" s="282">
        <f>ROUND(E119*F119,2)</f>
        <v>0</v>
      </c>
      <c r="H119" s="281">
        <v>0</v>
      </c>
      <c r="I119" s="282">
        <f>ROUND(E119*H119,2)</f>
        <v>0</v>
      </c>
      <c r="J119" s="281">
        <v>0</v>
      </c>
      <c r="K119" s="282">
        <f>ROUND(E119*J119,2)</f>
        <v>0</v>
      </c>
      <c r="L119" s="282">
        <v>21</v>
      </c>
      <c r="M119" s="282">
        <f>G119*(1+L119/100)</f>
        <v>0</v>
      </c>
      <c r="N119" s="282">
        <v>0</v>
      </c>
      <c r="O119" s="282">
        <f>ROUND(E119*N119,2)</f>
        <v>0</v>
      </c>
      <c r="P119" s="282">
        <v>0</v>
      </c>
      <c r="Q119" s="282">
        <f>ROUND(E119*P119,2)</f>
        <v>0</v>
      </c>
      <c r="R119" s="282"/>
      <c r="S119" s="282" t="s">
        <v>192</v>
      </c>
      <c r="T119" s="283" t="s">
        <v>100</v>
      </c>
      <c r="U119" s="269"/>
      <c r="V119" s="269"/>
      <c r="W119" s="269"/>
      <c r="X119" s="269"/>
      <c r="Y119" s="266"/>
      <c r="Z119" s="266"/>
      <c r="AA119" s="266"/>
      <c r="AB119" s="266"/>
      <c r="AC119" s="266"/>
      <c r="AD119" s="266"/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6"/>
      <c r="AS119" s="266"/>
      <c r="AT119" s="266"/>
      <c r="AU119" s="266"/>
      <c r="AV119" s="266"/>
      <c r="AW119" s="266"/>
      <c r="AX119" s="266"/>
      <c r="AY119" s="266"/>
      <c r="AZ119" s="266"/>
      <c r="BA119" s="266"/>
      <c r="BB119" s="266"/>
      <c r="BC119" s="266"/>
      <c r="BD119" s="266"/>
      <c r="BE119" s="266"/>
      <c r="BF119" s="266"/>
      <c r="BG119" s="266"/>
      <c r="BH119" s="266"/>
    </row>
    <row r="120" spans="1:60" ht="22.5" customHeight="1" outlineLevel="1">
      <c r="A120" s="267"/>
      <c r="B120" s="268"/>
      <c r="C120" s="451" t="s">
        <v>107</v>
      </c>
      <c r="D120" s="452"/>
      <c r="E120" s="452"/>
      <c r="F120" s="452"/>
      <c r="G120" s="452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6"/>
      <c r="Z120" s="266"/>
      <c r="AA120" s="266"/>
      <c r="AB120" s="266"/>
      <c r="AC120" s="266"/>
      <c r="AD120" s="266"/>
      <c r="AE120" s="266"/>
      <c r="AF120" s="266"/>
      <c r="AG120" s="266"/>
      <c r="AH120" s="266"/>
      <c r="AI120" s="266"/>
      <c r="AJ120" s="266"/>
      <c r="AK120" s="266"/>
      <c r="AL120" s="266"/>
      <c r="AM120" s="266"/>
      <c r="AN120" s="266"/>
      <c r="AO120" s="266"/>
      <c r="AP120" s="266"/>
      <c r="AQ120" s="266"/>
      <c r="AR120" s="266"/>
      <c r="AS120" s="266"/>
      <c r="AT120" s="266"/>
      <c r="AU120" s="266"/>
      <c r="AV120" s="266"/>
      <c r="AW120" s="266"/>
      <c r="AX120" s="266"/>
      <c r="AY120" s="266"/>
      <c r="AZ120" s="266"/>
      <c r="BA120" s="266"/>
      <c r="BB120" s="266"/>
      <c r="BC120" s="266"/>
      <c r="BD120" s="266"/>
      <c r="BE120" s="266"/>
      <c r="BF120" s="266"/>
      <c r="BG120" s="266"/>
      <c r="BH120" s="266"/>
    </row>
    <row r="121" spans="1:60" ht="12.75" outlineLevel="1">
      <c r="A121" s="267"/>
      <c r="B121" s="268"/>
      <c r="C121" s="325"/>
      <c r="D121" s="326"/>
      <c r="E121" s="326"/>
      <c r="F121" s="326"/>
      <c r="G121" s="326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266"/>
      <c r="AO121" s="266"/>
      <c r="AP121" s="266"/>
      <c r="AQ121" s="266"/>
      <c r="AR121" s="266"/>
      <c r="AS121" s="266"/>
      <c r="AT121" s="266"/>
      <c r="AU121" s="266"/>
      <c r="AV121" s="266"/>
      <c r="AW121" s="266"/>
      <c r="AX121" s="266"/>
      <c r="AY121" s="266"/>
      <c r="AZ121" s="266"/>
      <c r="BA121" s="266"/>
      <c r="BB121" s="266"/>
      <c r="BC121" s="266"/>
      <c r="BD121" s="266"/>
      <c r="BE121" s="266"/>
      <c r="BF121" s="266"/>
      <c r="BG121" s="266"/>
      <c r="BH121" s="266"/>
    </row>
    <row r="122" spans="1:33" ht="12.75">
      <c r="A122" s="271" t="s">
        <v>91</v>
      </c>
      <c r="B122" s="272" t="s">
        <v>64</v>
      </c>
      <c r="C122" s="284" t="s">
        <v>27</v>
      </c>
      <c r="D122" s="273"/>
      <c r="E122" s="274"/>
      <c r="F122" s="275"/>
      <c r="G122" s="275">
        <f>SUMIF(AG123:AG134,"&lt;&gt;NOR",G123:G134)</f>
        <v>0</v>
      </c>
      <c r="H122" s="275"/>
      <c r="I122" s="275">
        <f>SUM(I123:I134)</f>
        <v>0</v>
      </c>
      <c r="J122" s="275"/>
      <c r="K122" s="275">
        <f>SUM(K123:K134)</f>
        <v>0</v>
      </c>
      <c r="L122" s="275"/>
      <c r="M122" s="275">
        <f>SUM(M123:M134)</f>
        <v>0</v>
      </c>
      <c r="N122" s="275"/>
      <c r="O122" s="275">
        <f>SUM(O123:O134)</f>
        <v>0</v>
      </c>
      <c r="P122" s="275"/>
      <c r="Q122" s="275">
        <f>SUM(Q123:Q134)</f>
        <v>0</v>
      </c>
      <c r="R122" s="275"/>
      <c r="S122" s="275"/>
      <c r="T122" s="276"/>
      <c r="U122" s="147"/>
      <c r="V122" s="147">
        <f>SUM(V123:V134)</f>
        <v>0</v>
      </c>
      <c r="W122" s="147"/>
      <c r="X122" s="147"/>
      <c r="AG122" s="261" t="s">
        <v>92</v>
      </c>
    </row>
    <row r="123" spans="1:60" ht="12.75" outlineLevel="1">
      <c r="A123" s="277">
        <v>45</v>
      </c>
      <c r="B123" s="278" t="s">
        <v>138</v>
      </c>
      <c r="C123" s="285" t="s">
        <v>139</v>
      </c>
      <c r="D123" s="279" t="s">
        <v>99</v>
      </c>
      <c r="E123" s="280">
        <v>1</v>
      </c>
      <c r="F123" s="281"/>
      <c r="G123" s="282">
        <f>ROUND(E123*F123,2)</f>
        <v>0</v>
      </c>
      <c r="H123" s="281">
        <v>0</v>
      </c>
      <c r="I123" s="282">
        <f>ROUND(E123*H123,2)</f>
        <v>0</v>
      </c>
      <c r="J123" s="281">
        <v>0</v>
      </c>
      <c r="K123" s="282">
        <f>ROUND(E123*J123,2)</f>
        <v>0</v>
      </c>
      <c r="L123" s="282">
        <v>21</v>
      </c>
      <c r="M123" s="282">
        <f>G123*(1+L123/100)</f>
        <v>0</v>
      </c>
      <c r="N123" s="282">
        <v>0</v>
      </c>
      <c r="O123" s="282">
        <f>ROUND(E123*N123,2)</f>
        <v>0</v>
      </c>
      <c r="P123" s="282">
        <v>0</v>
      </c>
      <c r="Q123" s="282">
        <f>ROUND(E123*P123,2)</f>
        <v>0</v>
      </c>
      <c r="R123" s="282"/>
      <c r="S123" s="282" t="s">
        <v>192</v>
      </c>
      <c r="T123" s="283" t="s">
        <v>100</v>
      </c>
      <c r="U123" s="269">
        <v>0</v>
      </c>
      <c r="V123" s="269">
        <f>ROUND(E123*U123,2)</f>
        <v>0</v>
      </c>
      <c r="W123" s="269"/>
      <c r="X123" s="269" t="s">
        <v>101</v>
      </c>
      <c r="Y123" s="173"/>
      <c r="Z123" s="266"/>
      <c r="AA123" s="266"/>
      <c r="AB123" s="266"/>
      <c r="AC123" s="266"/>
      <c r="AD123" s="266"/>
      <c r="AE123" s="266"/>
      <c r="AF123" s="266"/>
      <c r="AG123" s="266" t="s">
        <v>102</v>
      </c>
      <c r="AH123" s="266"/>
      <c r="AI123" s="266"/>
      <c r="AJ123" s="266"/>
      <c r="AK123" s="266"/>
      <c r="AL123" s="266"/>
      <c r="AM123" s="266"/>
      <c r="AN123" s="266"/>
      <c r="AO123" s="266"/>
      <c r="AP123" s="266"/>
      <c r="AQ123" s="266"/>
      <c r="AR123" s="266"/>
      <c r="AS123" s="266"/>
      <c r="AT123" s="266"/>
      <c r="AU123" s="266"/>
      <c r="AV123" s="266"/>
      <c r="AW123" s="266"/>
      <c r="AX123" s="266"/>
      <c r="AY123" s="266"/>
      <c r="AZ123" s="266"/>
      <c r="BA123" s="266"/>
      <c r="BB123" s="266"/>
      <c r="BC123" s="266"/>
      <c r="BD123" s="266"/>
      <c r="BE123" s="266"/>
      <c r="BF123" s="266"/>
      <c r="BG123" s="266"/>
      <c r="BH123" s="266"/>
    </row>
    <row r="124" spans="1:60" ht="33.75" customHeight="1" outlineLevel="1">
      <c r="A124" s="267"/>
      <c r="B124" s="268"/>
      <c r="C124" s="451" t="s">
        <v>152</v>
      </c>
      <c r="D124" s="452"/>
      <c r="E124" s="452"/>
      <c r="F124" s="452"/>
      <c r="G124" s="452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6"/>
      <c r="Z124" s="266"/>
      <c r="AA124" s="266"/>
      <c r="AB124" s="266"/>
      <c r="AC124" s="266"/>
      <c r="AD124" s="266"/>
      <c r="AE124" s="266"/>
      <c r="AF124" s="266"/>
      <c r="AG124" s="266" t="s">
        <v>104</v>
      </c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266"/>
      <c r="AT124" s="266"/>
      <c r="AU124" s="266"/>
      <c r="AV124" s="266"/>
      <c r="AW124" s="266"/>
      <c r="AX124" s="266"/>
      <c r="AY124" s="266"/>
      <c r="AZ124" s="266"/>
      <c r="BA124" s="162" t="str">
        <f>C124</f>
        <v>Náklady na vyhotovení návrhu dočasného dopravního značení, jeho projednání s dotčenými orgány a organizacemi, dodání dopravních značek i případné světelné signalizace, jejich rozmístění a přemísťování a jejich údržba v průběhu výstavby včetně následného odstranění po ukončení stavebních prací.</v>
      </c>
      <c r="BB124" s="266"/>
      <c r="BC124" s="266"/>
      <c r="BD124" s="266"/>
      <c r="BE124" s="266"/>
      <c r="BF124" s="266"/>
      <c r="BG124" s="266"/>
      <c r="BH124" s="266"/>
    </row>
    <row r="125" spans="1:60" ht="12.75" outlineLevel="1">
      <c r="A125" s="267"/>
      <c r="B125" s="268"/>
      <c r="C125" s="447"/>
      <c r="D125" s="448"/>
      <c r="E125" s="448"/>
      <c r="F125" s="448"/>
      <c r="G125" s="448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6"/>
      <c r="Z125" s="266"/>
      <c r="AA125" s="266"/>
      <c r="AB125" s="266"/>
      <c r="AC125" s="266"/>
      <c r="AD125" s="266"/>
      <c r="AE125" s="266"/>
      <c r="AF125" s="266"/>
      <c r="AG125" s="266" t="s">
        <v>93</v>
      </c>
      <c r="AH125" s="266"/>
      <c r="AI125" s="266"/>
      <c r="AJ125" s="266"/>
      <c r="AK125" s="266"/>
      <c r="AL125" s="266"/>
      <c r="AM125" s="266"/>
      <c r="AN125" s="266"/>
      <c r="AO125" s="266"/>
      <c r="AP125" s="266"/>
      <c r="AQ125" s="266"/>
      <c r="AR125" s="266"/>
      <c r="AS125" s="266"/>
      <c r="AT125" s="266"/>
      <c r="AU125" s="266"/>
      <c r="AV125" s="266"/>
      <c r="AW125" s="266"/>
      <c r="AX125" s="266"/>
      <c r="AY125" s="266"/>
      <c r="AZ125" s="266"/>
      <c r="BA125" s="266"/>
      <c r="BB125" s="266"/>
      <c r="BC125" s="266"/>
      <c r="BD125" s="266"/>
      <c r="BE125" s="266"/>
      <c r="BF125" s="266"/>
      <c r="BG125" s="266"/>
      <c r="BH125" s="266"/>
    </row>
    <row r="126" spans="1:60" ht="12.75" outlineLevel="1">
      <c r="A126" s="329">
        <v>46</v>
      </c>
      <c r="B126" s="330" t="s">
        <v>140</v>
      </c>
      <c r="C126" s="331" t="s">
        <v>311</v>
      </c>
      <c r="D126" s="332" t="s">
        <v>99</v>
      </c>
      <c r="E126" s="328">
        <v>1</v>
      </c>
      <c r="F126" s="281"/>
      <c r="G126" s="333">
        <f>ROUND(E126*F126,2)</f>
        <v>0</v>
      </c>
      <c r="H126" s="334">
        <v>0</v>
      </c>
      <c r="I126" s="333">
        <f>ROUND(E126*H126,2)</f>
        <v>0</v>
      </c>
      <c r="J126" s="334">
        <v>0</v>
      </c>
      <c r="K126" s="333">
        <f>ROUND(E126*J126,2)</f>
        <v>0</v>
      </c>
      <c r="L126" s="333">
        <v>21</v>
      </c>
      <c r="M126" s="333">
        <f>G126*(1+L126/100)</f>
        <v>0</v>
      </c>
      <c r="N126" s="333">
        <v>0</v>
      </c>
      <c r="O126" s="333">
        <f>ROUND(E126*N126,2)</f>
        <v>0</v>
      </c>
      <c r="P126" s="333">
        <v>0</v>
      </c>
      <c r="Q126" s="333">
        <f>ROUND(E126*P126,2)</f>
        <v>0</v>
      </c>
      <c r="R126" s="333"/>
      <c r="S126" s="333" t="s">
        <v>192</v>
      </c>
      <c r="T126" s="348" t="s">
        <v>100</v>
      </c>
      <c r="U126" s="269">
        <v>0</v>
      </c>
      <c r="V126" s="269">
        <f>ROUND(E126*U126,2)</f>
        <v>0</v>
      </c>
      <c r="W126" s="269"/>
      <c r="X126" s="269" t="s">
        <v>101</v>
      </c>
      <c r="Y126" s="266"/>
      <c r="Z126" s="266"/>
      <c r="AA126" s="266"/>
      <c r="AB126" s="266"/>
      <c r="AC126" s="266"/>
      <c r="AD126" s="266"/>
      <c r="AE126" s="266"/>
      <c r="AF126" s="266"/>
      <c r="AG126" s="266" t="s">
        <v>102</v>
      </c>
      <c r="AH126" s="266"/>
      <c r="AI126" s="266"/>
      <c r="AJ126" s="266"/>
      <c r="AK126" s="266"/>
      <c r="AL126" s="266"/>
      <c r="AM126" s="266"/>
      <c r="AN126" s="266"/>
      <c r="AO126" s="266"/>
      <c r="AP126" s="266"/>
      <c r="AQ126" s="266"/>
      <c r="AR126" s="266"/>
      <c r="AS126" s="266"/>
      <c r="AT126" s="266"/>
      <c r="AU126" s="266"/>
      <c r="AV126" s="266"/>
      <c r="AW126" s="266"/>
      <c r="AX126" s="266"/>
      <c r="AY126" s="266"/>
      <c r="AZ126" s="266"/>
      <c r="BA126" s="266"/>
      <c r="BB126" s="266"/>
      <c r="BC126" s="266"/>
      <c r="BD126" s="266"/>
      <c r="BE126" s="266"/>
      <c r="BF126" s="266"/>
      <c r="BG126" s="266"/>
      <c r="BH126" s="266"/>
    </row>
    <row r="127" spans="1:60" ht="12.75" outlineLevel="1">
      <c r="A127" s="267"/>
      <c r="B127" s="268"/>
      <c r="C127" s="451" t="s">
        <v>141</v>
      </c>
      <c r="D127" s="452"/>
      <c r="E127" s="452"/>
      <c r="F127" s="452"/>
      <c r="G127" s="452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6"/>
      <c r="Z127" s="266"/>
      <c r="AA127" s="266"/>
      <c r="AB127" s="266"/>
      <c r="AC127" s="266"/>
      <c r="AD127" s="266"/>
      <c r="AE127" s="266"/>
      <c r="AF127" s="266"/>
      <c r="AG127" s="266" t="s">
        <v>104</v>
      </c>
      <c r="AH127" s="266"/>
      <c r="AI127" s="266"/>
      <c r="AJ127" s="266"/>
      <c r="AK127" s="266"/>
      <c r="AL127" s="266"/>
      <c r="AM127" s="266"/>
      <c r="AN127" s="266"/>
      <c r="AO127" s="266"/>
      <c r="AP127" s="266"/>
      <c r="AQ127" s="266"/>
      <c r="AR127" s="266"/>
      <c r="AS127" s="266"/>
      <c r="AT127" s="266"/>
      <c r="AU127" s="266"/>
      <c r="AV127" s="266"/>
      <c r="AW127" s="266"/>
      <c r="AX127" s="266"/>
      <c r="AY127" s="266"/>
      <c r="AZ127" s="266"/>
      <c r="BA127" s="162" t="str">
        <f>C127</f>
        <v>Náklady na vyhotovení dokumentace skutečného provedení stavby a její předání objednateli v požadované formě a požadovaném počtu.</v>
      </c>
      <c r="BB127" s="266"/>
      <c r="BC127" s="266"/>
      <c r="BD127" s="266"/>
      <c r="BE127" s="266"/>
      <c r="BF127" s="266"/>
      <c r="BG127" s="266"/>
      <c r="BH127" s="266"/>
    </row>
    <row r="128" spans="1:60" ht="12.75" outlineLevel="1">
      <c r="A128" s="267"/>
      <c r="B128" s="268"/>
      <c r="C128" s="447"/>
      <c r="D128" s="448"/>
      <c r="E128" s="448"/>
      <c r="F128" s="448"/>
      <c r="G128" s="448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6"/>
      <c r="Z128" s="266"/>
      <c r="AA128" s="266"/>
      <c r="AB128" s="266"/>
      <c r="AC128" s="266"/>
      <c r="AD128" s="266"/>
      <c r="AE128" s="266"/>
      <c r="AF128" s="266"/>
      <c r="AG128" s="266" t="s">
        <v>93</v>
      </c>
      <c r="AH128" s="266"/>
      <c r="AI128" s="266"/>
      <c r="AJ128" s="266"/>
      <c r="AK128" s="266"/>
      <c r="AL128" s="266"/>
      <c r="AM128" s="266"/>
      <c r="AN128" s="266"/>
      <c r="AO128" s="266"/>
      <c r="AP128" s="266"/>
      <c r="AQ128" s="266"/>
      <c r="AR128" s="266"/>
      <c r="AS128" s="266"/>
      <c r="AT128" s="266"/>
      <c r="AU128" s="266"/>
      <c r="AV128" s="266"/>
      <c r="AW128" s="266"/>
      <c r="AX128" s="266"/>
      <c r="AY128" s="266"/>
      <c r="AZ128" s="266"/>
      <c r="BA128" s="266"/>
      <c r="BB128" s="266"/>
      <c r="BC128" s="266"/>
      <c r="BD128" s="266"/>
      <c r="BE128" s="266"/>
      <c r="BF128" s="266"/>
      <c r="BG128" s="266"/>
      <c r="BH128" s="266"/>
    </row>
    <row r="129" spans="1:60" ht="12.75" outlineLevel="1">
      <c r="A129" s="277">
        <v>47</v>
      </c>
      <c r="B129" s="278" t="s">
        <v>313</v>
      </c>
      <c r="C129" s="285" t="s">
        <v>312</v>
      </c>
      <c r="D129" s="279" t="s">
        <v>99</v>
      </c>
      <c r="E129" s="280">
        <v>1</v>
      </c>
      <c r="F129" s="281"/>
      <c r="G129" s="282">
        <f>ROUND(E129*F129,2)</f>
        <v>0</v>
      </c>
      <c r="H129" s="281">
        <v>0</v>
      </c>
      <c r="I129" s="282">
        <f>ROUND(E129*H129,2)</f>
        <v>0</v>
      </c>
      <c r="J129" s="281">
        <v>0</v>
      </c>
      <c r="K129" s="282">
        <f>ROUND(E129*J129,2)</f>
        <v>0</v>
      </c>
      <c r="L129" s="282">
        <v>21</v>
      </c>
      <c r="M129" s="282">
        <f>G129*(1+L129/100)</f>
        <v>0</v>
      </c>
      <c r="N129" s="282">
        <v>0</v>
      </c>
      <c r="O129" s="282">
        <f>ROUND(E129*N129,2)</f>
        <v>0</v>
      </c>
      <c r="P129" s="282">
        <v>0</v>
      </c>
      <c r="Q129" s="282">
        <f>ROUND(E129*P129,2)</f>
        <v>0</v>
      </c>
      <c r="R129" s="282"/>
      <c r="S129" s="282" t="s">
        <v>192</v>
      </c>
      <c r="T129" s="283" t="s">
        <v>100</v>
      </c>
      <c r="U129" s="269"/>
      <c r="V129" s="269"/>
      <c r="W129" s="269"/>
      <c r="X129" s="269"/>
      <c r="Y129" s="266"/>
      <c r="Z129" s="266"/>
      <c r="AA129" s="266"/>
      <c r="AB129" s="266"/>
      <c r="AC129" s="266"/>
      <c r="AD129" s="266"/>
      <c r="AE129" s="266"/>
      <c r="AF129" s="266"/>
      <c r="AG129" s="266"/>
      <c r="AH129" s="266"/>
      <c r="AI129" s="266"/>
      <c r="AJ129" s="266"/>
      <c r="AK129" s="266"/>
      <c r="AL129" s="266"/>
      <c r="AM129" s="266"/>
      <c r="AN129" s="266"/>
      <c r="AO129" s="266"/>
      <c r="AP129" s="266"/>
      <c r="AQ129" s="266"/>
      <c r="AR129" s="266"/>
      <c r="AS129" s="266"/>
      <c r="AT129" s="266"/>
      <c r="AU129" s="266"/>
      <c r="AV129" s="266"/>
      <c r="AW129" s="266"/>
      <c r="AX129" s="266"/>
      <c r="AY129" s="266"/>
      <c r="AZ129" s="266"/>
      <c r="BA129" s="266"/>
      <c r="BB129" s="266"/>
      <c r="BC129" s="266"/>
      <c r="BD129" s="266"/>
      <c r="BE129" s="266"/>
      <c r="BF129" s="266"/>
      <c r="BG129" s="266"/>
      <c r="BH129" s="266"/>
    </row>
    <row r="130" spans="1:60" ht="12.75" outlineLevel="1">
      <c r="A130" s="267"/>
      <c r="B130" s="268"/>
      <c r="C130" s="451" t="s">
        <v>141</v>
      </c>
      <c r="D130" s="452"/>
      <c r="E130" s="452"/>
      <c r="F130" s="452"/>
      <c r="G130" s="452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6"/>
      <c r="Z130" s="266"/>
      <c r="AA130" s="266"/>
      <c r="AB130" s="266"/>
      <c r="AC130" s="266"/>
      <c r="AD130" s="266"/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66"/>
      <c r="AR130" s="266"/>
      <c r="AS130" s="266"/>
      <c r="AT130" s="266"/>
      <c r="AU130" s="266"/>
      <c r="AV130" s="266"/>
      <c r="AW130" s="266"/>
      <c r="AX130" s="266"/>
      <c r="AY130" s="266"/>
      <c r="AZ130" s="266"/>
      <c r="BA130" s="266"/>
      <c r="BB130" s="266"/>
      <c r="BC130" s="266"/>
      <c r="BD130" s="266"/>
      <c r="BE130" s="266"/>
      <c r="BF130" s="266"/>
      <c r="BG130" s="266"/>
      <c r="BH130" s="266"/>
    </row>
    <row r="131" spans="1:60" ht="12.75" outlineLevel="1">
      <c r="A131" s="267"/>
      <c r="B131" s="268"/>
      <c r="C131" s="325"/>
      <c r="D131" s="326"/>
      <c r="E131" s="326"/>
      <c r="F131" s="326"/>
      <c r="G131" s="326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6"/>
      <c r="Z131" s="266"/>
      <c r="AA131" s="266"/>
      <c r="AB131" s="266"/>
      <c r="AC131" s="266"/>
      <c r="AD131" s="266"/>
      <c r="AE131" s="266"/>
      <c r="AF131" s="266"/>
      <c r="AG131" s="266"/>
      <c r="AH131" s="266"/>
      <c r="AI131" s="266"/>
      <c r="AJ131" s="266"/>
      <c r="AK131" s="266"/>
      <c r="AL131" s="266"/>
      <c r="AM131" s="266"/>
      <c r="AN131" s="266"/>
      <c r="AO131" s="266"/>
      <c r="AP131" s="266"/>
      <c r="AQ131" s="266"/>
      <c r="AR131" s="266"/>
      <c r="AS131" s="266"/>
      <c r="AT131" s="266"/>
      <c r="AU131" s="266"/>
      <c r="AV131" s="266"/>
      <c r="AW131" s="266"/>
      <c r="AX131" s="266"/>
      <c r="AY131" s="266"/>
      <c r="AZ131" s="266"/>
      <c r="BA131" s="266"/>
      <c r="BB131" s="266"/>
      <c r="BC131" s="266"/>
      <c r="BD131" s="266"/>
      <c r="BE131" s="266"/>
      <c r="BF131" s="266"/>
      <c r="BG131" s="266"/>
      <c r="BH131" s="266"/>
    </row>
    <row r="132" spans="1:60" ht="12.75" outlineLevel="1">
      <c r="A132" s="329">
        <v>48</v>
      </c>
      <c r="B132" s="330" t="s">
        <v>142</v>
      </c>
      <c r="C132" s="331" t="s">
        <v>143</v>
      </c>
      <c r="D132" s="332" t="s">
        <v>99</v>
      </c>
      <c r="E132" s="328">
        <v>1</v>
      </c>
      <c r="F132" s="281"/>
      <c r="G132" s="333">
        <f>ROUND(E132*F132,2)</f>
        <v>0</v>
      </c>
      <c r="H132" s="334">
        <v>0</v>
      </c>
      <c r="I132" s="333">
        <f>ROUND(E132*H132,2)</f>
        <v>0</v>
      </c>
      <c r="J132" s="334">
        <v>0</v>
      </c>
      <c r="K132" s="333">
        <f>ROUND(E132*J132,2)</f>
        <v>0</v>
      </c>
      <c r="L132" s="333">
        <v>21</v>
      </c>
      <c r="M132" s="333">
        <f>G132*(1+L132/100)</f>
        <v>0</v>
      </c>
      <c r="N132" s="333">
        <v>0</v>
      </c>
      <c r="O132" s="333">
        <f>ROUND(E132*N132,2)</f>
        <v>0</v>
      </c>
      <c r="P132" s="333">
        <v>0</v>
      </c>
      <c r="Q132" s="333">
        <f>ROUND(E132*P132,2)</f>
        <v>0</v>
      </c>
      <c r="R132" s="333"/>
      <c r="S132" s="333" t="s">
        <v>192</v>
      </c>
      <c r="T132" s="348" t="s">
        <v>100</v>
      </c>
      <c r="U132" s="269">
        <v>0</v>
      </c>
      <c r="V132" s="269">
        <f>ROUND(E132*U132,2)</f>
        <v>0</v>
      </c>
      <c r="W132" s="269"/>
      <c r="X132" s="269" t="s">
        <v>101</v>
      </c>
      <c r="Y132" s="266"/>
      <c r="Z132" s="266"/>
      <c r="AA132" s="266"/>
      <c r="AB132" s="266"/>
      <c r="AC132" s="266"/>
      <c r="AD132" s="266"/>
      <c r="AE132" s="266"/>
      <c r="AF132" s="266"/>
      <c r="AG132" s="266" t="s">
        <v>102</v>
      </c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  <c r="AT132" s="266"/>
      <c r="AU132" s="266"/>
      <c r="AV132" s="266"/>
      <c r="AW132" s="266"/>
      <c r="AX132" s="266"/>
      <c r="AY132" s="266"/>
      <c r="AZ132" s="266"/>
      <c r="BA132" s="266"/>
      <c r="BB132" s="266"/>
      <c r="BC132" s="266"/>
      <c r="BD132" s="266"/>
      <c r="BE132" s="266"/>
      <c r="BF132" s="266"/>
      <c r="BG132" s="266"/>
      <c r="BH132" s="266"/>
    </row>
    <row r="133" spans="1:60" ht="13.5" customHeight="1" outlineLevel="1">
      <c r="A133" s="267"/>
      <c r="B133" s="268"/>
      <c r="C133" s="451" t="s">
        <v>153</v>
      </c>
      <c r="D133" s="452"/>
      <c r="E133" s="452"/>
      <c r="F133" s="452"/>
      <c r="G133" s="452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6"/>
      <c r="Z133" s="266"/>
      <c r="AA133" s="266"/>
      <c r="AB133" s="266"/>
      <c r="AC133" s="266"/>
      <c r="AD133" s="266"/>
      <c r="AE133" s="266"/>
      <c r="AF133" s="266"/>
      <c r="AG133" s="266" t="s">
        <v>104</v>
      </c>
      <c r="AH133" s="266"/>
      <c r="AI133" s="266"/>
      <c r="AJ133" s="266"/>
      <c r="AK133" s="266"/>
      <c r="AL133" s="266"/>
      <c r="AM133" s="266"/>
      <c r="AN133" s="266"/>
      <c r="AO133" s="266"/>
      <c r="AP133" s="266"/>
      <c r="AQ133" s="266"/>
      <c r="AR133" s="266"/>
      <c r="AS133" s="266"/>
      <c r="AT133" s="266"/>
      <c r="AU133" s="266"/>
      <c r="AV133" s="266"/>
      <c r="AW133" s="266"/>
      <c r="AX133" s="266"/>
      <c r="AY133" s="266"/>
      <c r="AZ133" s="266"/>
      <c r="BA133" s="162" t="str">
        <f>C133</f>
        <v>Náklady spojené s povinnou publicitou. Zahrnuje zejména náklady na propagační a informační billboardy, tabule, internetovou propagaci, tiskoviny apod.</v>
      </c>
      <c r="BB133" s="266"/>
      <c r="BC133" s="266"/>
      <c r="BD133" s="266"/>
      <c r="BE133" s="266"/>
      <c r="BF133" s="266"/>
      <c r="BG133" s="266"/>
      <c r="BH133" s="266"/>
    </row>
    <row r="134" spans="1:60" ht="12.75" outlineLevel="1">
      <c r="A134" s="267"/>
      <c r="B134" s="268"/>
      <c r="C134" s="447"/>
      <c r="D134" s="448"/>
      <c r="E134" s="448"/>
      <c r="F134" s="448"/>
      <c r="G134" s="448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6"/>
      <c r="Z134" s="266"/>
      <c r="AA134" s="266"/>
      <c r="AB134" s="266"/>
      <c r="AC134" s="266"/>
      <c r="AD134" s="266"/>
      <c r="AE134" s="266"/>
      <c r="AF134" s="266"/>
      <c r="AG134" s="266" t="s">
        <v>93</v>
      </c>
      <c r="AH134" s="266"/>
      <c r="AI134" s="266"/>
      <c r="AJ134" s="266"/>
      <c r="AK134" s="266"/>
      <c r="AL134" s="266"/>
      <c r="AM134" s="266"/>
      <c r="AN134" s="266"/>
      <c r="AO134" s="266"/>
      <c r="AP134" s="266"/>
      <c r="AQ134" s="266"/>
      <c r="AR134" s="266"/>
      <c r="AS134" s="266"/>
      <c r="AT134" s="266"/>
      <c r="AU134" s="266"/>
      <c r="AV134" s="266"/>
      <c r="AW134" s="266"/>
      <c r="AX134" s="266"/>
      <c r="AY134" s="266"/>
      <c r="AZ134" s="266"/>
      <c r="BA134" s="266"/>
      <c r="BB134" s="266"/>
      <c r="BC134" s="266"/>
      <c r="BD134" s="266"/>
      <c r="BE134" s="266"/>
      <c r="BF134" s="266"/>
      <c r="BG134" s="266"/>
      <c r="BH134" s="266"/>
    </row>
    <row r="135" spans="1:33" ht="12.75">
      <c r="A135" s="3"/>
      <c r="B135" s="4"/>
      <c r="C135" s="167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AE135" s="261">
        <v>15</v>
      </c>
      <c r="AF135" s="261">
        <v>21</v>
      </c>
      <c r="AG135" s="261" t="s">
        <v>78</v>
      </c>
    </row>
    <row r="136" spans="1:33" ht="12.75">
      <c r="A136" s="140"/>
      <c r="B136" s="141" t="s">
        <v>28</v>
      </c>
      <c r="C136" s="168"/>
      <c r="D136" s="142"/>
      <c r="E136" s="143"/>
      <c r="F136" s="143"/>
      <c r="G136" s="163">
        <f>G8+G44+G60+G75+G93+G96+G103+G110+G122</f>
        <v>0</v>
      </c>
      <c r="H136" s="3"/>
      <c r="I136" s="3"/>
      <c r="J136" s="3"/>
      <c r="K136" s="3"/>
      <c r="L136" s="139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AE136" s="261">
        <f>SUMIF(L7:L134,AE135,G7:G134)</f>
        <v>0</v>
      </c>
      <c r="AF136" s="261">
        <f>SUMIF(L7:L134,AF135,G7:G134)</f>
        <v>0</v>
      </c>
      <c r="AG136" s="261" t="s">
        <v>144</v>
      </c>
    </row>
    <row r="137" spans="3:33" ht="12.75">
      <c r="C137" s="169"/>
      <c r="D137" s="10"/>
      <c r="AG137" s="261" t="s">
        <v>145</v>
      </c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</sheetData>
  <sheetProtection sheet="1" objects="1" scenarios="1"/>
  <mergeCells count="50">
    <mergeCell ref="C127:G127"/>
    <mergeCell ref="C128:G128"/>
    <mergeCell ref="C130:G130"/>
    <mergeCell ref="C133:G133"/>
    <mergeCell ref="C134:G134"/>
    <mergeCell ref="C125:G125"/>
    <mergeCell ref="C105:G105"/>
    <mergeCell ref="C107:G107"/>
    <mergeCell ref="C109:G109"/>
    <mergeCell ref="C112:G112"/>
    <mergeCell ref="C114:G114"/>
    <mergeCell ref="C115:G115"/>
    <mergeCell ref="C117:G117"/>
    <mergeCell ref="C118:G118"/>
    <mergeCell ref="C120:G120"/>
    <mergeCell ref="C124:G124"/>
    <mergeCell ref="C54:G54"/>
    <mergeCell ref="C57:G57"/>
    <mergeCell ref="C66:G66"/>
    <mergeCell ref="C102:G102"/>
    <mergeCell ref="C79:G79"/>
    <mergeCell ref="C80:G80"/>
    <mergeCell ref="C84:G84"/>
    <mergeCell ref="C85:G85"/>
    <mergeCell ref="C89:G89"/>
    <mergeCell ref="C91:G91"/>
    <mergeCell ref="C92:G92"/>
    <mergeCell ref="C98:G98"/>
    <mergeCell ref="C100:G100"/>
    <mergeCell ref="C35:G35"/>
    <mergeCell ref="C36:G36"/>
    <mergeCell ref="C38:G38"/>
    <mergeCell ref="C43:G43"/>
    <mergeCell ref="C46:G46"/>
    <mergeCell ref="C24:G24"/>
    <mergeCell ref="C25:G25"/>
    <mergeCell ref="C27:G27"/>
    <mergeCell ref="C28:G28"/>
    <mergeCell ref="C30:G30"/>
    <mergeCell ref="C21:G21"/>
    <mergeCell ref="A1:G1"/>
    <mergeCell ref="C2:H2"/>
    <mergeCell ref="C3:G3"/>
    <mergeCell ref="C4:H4"/>
    <mergeCell ref="C10:G10"/>
    <mergeCell ref="C12:G12"/>
    <mergeCell ref="C14:G14"/>
    <mergeCell ref="C16:G16"/>
    <mergeCell ref="C17:G17"/>
    <mergeCell ref="C19:G19"/>
  </mergeCells>
  <printOptions/>
  <pageMargins left="0.590551181102362" right="0.196850393700787" top="0.787401575" bottom="0.787401575" header="0.3" footer="0.3"/>
  <pageSetup fitToHeight="0" fitToWidth="1" horizontalDpi="600" verticalDpi="600" orientation="landscape" paperSize="9" scale="85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</dc:creator>
  <cp:keywords/>
  <dc:description/>
  <cp:lastModifiedBy>Brych Michal (CZ)</cp:lastModifiedBy>
  <cp:lastPrinted>2021-12-03T19:52:11Z</cp:lastPrinted>
  <dcterms:created xsi:type="dcterms:W3CDTF">2009-04-08T07:15:50Z</dcterms:created>
  <dcterms:modified xsi:type="dcterms:W3CDTF">2022-05-08T10:52:31Z</dcterms:modified>
  <cp:category/>
  <cp:version/>
  <cp:contentType/>
  <cp:contentStatus/>
</cp:coreProperties>
</file>